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005" windowWidth="19260" windowHeight="5025" tabRatio="771" activeTab="0"/>
  </bookViews>
  <sheets>
    <sheet name="АЙТАТ.РФ" sheetId="1" r:id="rId1"/>
  </sheets>
  <definedNames>
    <definedName name="_xlnm._FilterDatabase" localSheetId="0" hidden="1">'АЙТАТ.РФ'!$A$1:$J$575</definedName>
    <definedName name="_xlnm.Print_Titles" localSheetId="0">'АЙТАТ.РФ'!$19:$19</definedName>
    <definedName name="_xlnm.Print_Titles" localSheetId="0">'АЙТАТ.РФ'!$19:$19</definedName>
  </definedNames>
  <calcPr fullCalcOnLoad="1"/>
</workbook>
</file>

<file path=xl/comments1.xml><?xml version="1.0" encoding="utf-8"?>
<comments xmlns="http://schemas.openxmlformats.org/spreadsheetml/2006/main">
  <authors>
    <author>Alex Sosedko</author>
    <author>Сергей</author>
    <author>&lt;&gt;</author>
    <author>Алексей</author>
    <author>Тагиров Артур</author>
  </authors>
  <commentList>
    <comment ref="A528" authorId="0">
      <text>
        <r>
          <rPr>
            <b/>
            <sz val="8"/>
            <rFont val="Tahoma"/>
            <family val="2"/>
          </rPr>
          <t xml:space="preserve"> &lt;Текстовая часть (итоги)&gt;</t>
        </r>
      </text>
    </comment>
    <comment ref="A11" authorId="0">
      <text>
        <r>
          <rPr>
            <b/>
            <sz val="8"/>
            <rFont val="Tahoma"/>
            <family val="2"/>
          </rPr>
          <t xml:space="preserve"> &lt;Наименование стройки&gt;</t>
        </r>
      </text>
    </comment>
    <comment ref="A9" authorId="1">
      <text>
        <r>
          <rPr>
            <sz val="8"/>
            <rFont val="Tahoma"/>
            <family val="2"/>
          </rPr>
          <t xml:space="preserve"> &lt;Индекс/ЛН локальной сметы&gt;</t>
        </r>
      </text>
    </comment>
    <comment ref="A12" authorId="0">
      <text>
        <r>
          <rPr>
            <b/>
            <sz val="8"/>
            <rFont val="Tahoma"/>
            <family val="2"/>
          </rPr>
          <t xml:space="preserve"> &lt;Наименование локальной сметы&gt;</t>
        </r>
      </text>
    </comment>
    <comment ref="A13" authorId="0">
      <text>
        <r>
          <rPr>
            <b/>
            <sz val="8"/>
            <rFont val="Tahoma"/>
            <family val="2"/>
          </rPr>
          <t xml:space="preserve"> &lt;Основание&gt;</t>
        </r>
      </text>
    </comment>
    <comment ref="A572" authorId="2">
      <text>
        <r>
          <rPr>
            <b/>
            <sz val="8"/>
            <rFont val="Tahoma"/>
            <family val="2"/>
          </rPr>
          <t xml:space="preserve"> &lt;подпись 300 атрибут 970 значение&gt;                       /&lt;подпись 300  значение&gt;/</t>
        </r>
      </text>
    </comment>
    <comment ref="A574" authorId="2">
      <text>
        <r>
          <rPr>
            <b/>
            <sz val="8"/>
            <rFont val="Tahoma"/>
            <family val="2"/>
          </rPr>
          <t xml:space="preserve"> &lt;подпись 310 атрибут 970 значение&gt;                       /&lt;подпись 310  значение&gt;/</t>
        </r>
      </text>
    </comment>
    <comment ref="B3" authorId="3">
      <text>
        <r>
          <rPr>
            <b/>
            <sz val="9"/>
            <rFont val="Tahoma"/>
            <family val="2"/>
          </rPr>
          <t xml:space="preserve"> &lt;подпись 240 значение&gt;</t>
        </r>
      </text>
    </comment>
    <comment ref="E3" authorId="3">
      <text>
        <r>
          <rPr>
            <b/>
            <sz val="9"/>
            <rFont val="Tahoma"/>
            <family val="2"/>
          </rPr>
          <t xml:space="preserve"> &lt;подпись 230 значение&gt;</t>
        </r>
      </text>
    </comment>
    <comment ref="I11" authorId="3">
      <text>
        <r>
          <rPr>
            <b/>
            <sz val="9"/>
            <rFont val="Tahoma"/>
            <family val="2"/>
          </rPr>
          <t xml:space="preserve"> &lt;Итого по расчету&gt;</t>
        </r>
      </text>
    </comment>
    <comment ref="I13" authorId="3">
      <text>
        <r>
          <rPr>
            <b/>
            <sz val="9"/>
            <rFont val="Tahoma"/>
            <family val="2"/>
          </rPr>
          <t xml:space="preserve"> =&lt;Итого по расчету&gt;-&lt;Итого МАТ с индексами&gt;*1,2</t>
        </r>
      </text>
    </comment>
    <comment ref="I12" authorId="3">
      <text>
        <r>
          <rPr>
            <b/>
            <sz val="9"/>
            <rFont val="Tahoma"/>
            <family val="2"/>
          </rPr>
          <t xml:space="preserve"> &lt;Итого ТЗ с коэф. к итогам&gt;</t>
        </r>
      </text>
    </comment>
    <comment ref="I14" authorId="4">
      <text>
        <r>
          <rPr>
            <b/>
            <sz val="9"/>
            <rFont val="Tahoma"/>
            <family val="2"/>
          </rPr>
          <t xml:space="preserve"> =&lt;Итого МАТ с индексами&gt;*1,2</t>
        </r>
      </text>
    </comment>
    <comment ref="J528" authorId="4">
      <text>
        <r>
          <rPr>
            <b/>
            <sz val="9"/>
            <rFont val="Tahoma"/>
            <family val="2"/>
          </rPr>
          <t xml:space="preserve"> &lt;Прямые затраты (итоги)&gt;</t>
        </r>
      </text>
    </comment>
  </commentList>
</comments>
</file>

<file path=xl/sharedStrings.xml><?xml version="1.0" encoding="utf-8"?>
<sst xmlns="http://schemas.openxmlformats.org/spreadsheetml/2006/main" count="1489" uniqueCount="522">
  <si>
    <t xml:space="preserve">Сметная стоимость </t>
  </si>
  <si>
    <t>№ п/п</t>
  </si>
  <si>
    <t>Наименование работ и затрат</t>
  </si>
  <si>
    <t>Единица измерения</t>
  </si>
  <si>
    <t>"УТВЕРЖДАЮ"</t>
  </si>
  <si>
    <t>Нормативная трудоемкость</t>
  </si>
  <si>
    <t>чел.час.</t>
  </si>
  <si>
    <t>(должность, подпись, инициалы)</t>
  </si>
  <si>
    <t xml:space="preserve">ЗАКАЗЧИК   </t>
  </si>
  <si>
    <t xml:space="preserve">ПОДРЯДЧИК </t>
  </si>
  <si>
    <t>"СОГЛАСОВАНО"</t>
  </si>
  <si>
    <t>Шифр расценки</t>
  </si>
  <si>
    <t xml:space="preserve">Кол-во </t>
  </si>
  <si>
    <t>в том числе</t>
  </si>
  <si>
    <t>Стоимость на ед.изм., с учетом НДС, руб</t>
  </si>
  <si>
    <t>Стоимость работ</t>
  </si>
  <si>
    <t>Стоимость материала</t>
  </si>
  <si>
    <t>Общая стоимость, с учетом НДС, руб</t>
  </si>
  <si>
    <t>Всего, с учетом НДС, руб</t>
  </si>
  <si>
    <t>Стоимость материалов</t>
  </si>
  <si>
    <t>Стоимость работы</t>
  </si>
  <si>
    <t>руб.</t>
  </si>
  <si>
    <t>"___" __________ 2019 г.</t>
  </si>
  <si>
    <t>"____" _____________ 2019 г.</t>
  </si>
  <si>
    <t>Расчет договорной цены № 02-01-03</t>
  </si>
  <si>
    <t>Основание: ВОР</t>
  </si>
  <si>
    <t>ПРОВЕРИЛ:                        //</t>
  </si>
  <si>
    <t>Раздел 1. Отделочные работы. Блок А</t>
  </si>
  <si>
    <t>Потолки</t>
  </si>
  <si>
    <t>ГЭСН15-02-019-02</t>
  </si>
  <si>
    <t>Сплошное выравнивание внутренних бетонных поверхностей (однослойное оштукатуривание) известковым раствором: потолков
Состав работ:
1. Нанесение раствора вручную с затиркой.
2. Нанесение раствора для отделки плоскостей лузг и усенков.
______________
НР 89%=105%*0.85 от ФОТ
74128,09
______________
СП 44%=55%*0.8 от ФОТ
36647,6</t>
  </si>
  <si>
    <t>100 м2</t>
  </si>
  <si>
    <t>ГЭСН15-04-002-01</t>
  </si>
  <si>
    <t>Известковая окраска водными составами внутри помещений: по штукатурке
Состав работ:
1. Очистка
2. Смачивание водой
3. Расшивка трещин
4. Сглаживание торцом дерева
5. Первая огрунтовка
6. Частичная подмазка
7. Шлифовка подмазанных мест
8. Окраска
______________
НР 89%=105%*0.85 от ФОТ
208,45
______________
СП 44%=55%*0.8 от ФОТ
103,05</t>
  </si>
  <si>
    <t>ГЭСН15-04-007-02</t>
  </si>
  <si>
    <t>Окраска водно-дисперсионными акриловыми составами улучшенная: по штукатурке потолков
Состав работ:
1. Нанесение шпатлевки на трещины и раковины.
2. Шлифовка подмазанных мест.
3. Шпатлевание поверхности.
4. Шлифовка прошпатлеванной поверхности.
5. Грунтование поверхности.
6. Шлифовка прогрунтованной поверхности.
7. Окраска поверхности за 2 раза.
______________
НР 89%=105%*0.85 от ФОТ
79899,46
______________
СП 44%=55%*0.8 от ФОТ
39500,85</t>
  </si>
  <si>
    <t>14.3.02.01-0112</t>
  </si>
  <si>
    <t>Краска акриловая: ВД-АК 2180, ВГТ</t>
  </si>
  <si>
    <t>т</t>
  </si>
  <si>
    <t>14.4.01.02-0113</t>
  </si>
  <si>
    <t>Грунтовка акриловая: НОРТЕКС-ГРУНТ</t>
  </si>
  <si>
    <t>кг</t>
  </si>
  <si>
    <t>ГЭСН15-04-025-09</t>
  </si>
  <si>
    <t>Улучшенная окраска масляными составами по штукатурке потолков
Состав работ:
1. Очистка
2. Сглаживание торцом дерева
3. Расшивка трещин
4. Проолифка
5. Частичная подмазка с проолифкой подмазанных мест
6. Шлифовка подмазанных мест
7. Первая сплошная шпатлевка
8. Шлифовка
9. Огрунтовка
10. Флейцевание
11. Шлифовка
12. Первая окраска
13. Флейцевание
14. Шлифовка
15. Вторая окраска
16. Флейцевание или торцевание
17. Вытягивание филенок
______________
НР 89%=105%*0.85 от ФОТ
6878,72
______________
СП 44%=55%*0.8 от ФОТ
3400,72</t>
  </si>
  <si>
    <t>14.4.02.04-0223</t>
  </si>
  <si>
    <t>Краски масляные и алкидные, готовые к применению белила цинковые: МА-22</t>
  </si>
  <si>
    <t>ГЭСН15-02-019-04</t>
  </si>
  <si>
    <t>Сплошное выравнивание внутренних поверхностей (однослойное оштукатуривание) из сухих растворных смесей толщиной до 10 мм: потолков
Состав работ:
1. Приготовление штукатурного раствора из сухих смесей.
2. Огрунтовка поверхностей.
3. Нанесение раствора вручную с затиркой.
4. Нанесение раствора для отделки плоскостей лузг и усенков.
______________
НР 89%=105%*0.85 от ФОТ
4041,88
______________
СП 44%=55%*0.8 от ФОТ
1998,23</t>
  </si>
  <si>
    <t>04.3.02.05-0002</t>
  </si>
  <si>
    <t>Смесь штукатурная «Ротбанд», КНАУФ</t>
  </si>
  <si>
    <t>14.4.01.04-0001</t>
  </si>
  <si>
    <t>Грунтовка: для внутренних работ ВАК-01-У</t>
  </si>
  <si>
    <t>ГЭСН15-04-005-04</t>
  </si>
  <si>
    <t>Окраска поливинилацетатными водоэмульсионными составами улучшенная: по штукатурке потолков
Состав работ:
1. Нанесение шпатлевки на трещины и раковины.
2. Шлифовка подмазанных мест.
3. Окраска поверхностей.
______________
НР 89%=105%*0.85 от ФОТ
8694,77
______________
СП 44%=55%*0.8 от ФОТ
4298,54</t>
  </si>
  <si>
    <t>14.3.02.01-0219</t>
  </si>
  <si>
    <t>Краска водоэмульсионная ВЭАК-1180</t>
  </si>
  <si>
    <t>ГЭСН15-01-047-15</t>
  </si>
  <si>
    <t>Устройство: подвесных потолков типа &lt;Армстронг&gt; по каркасу из оцинкованного профиля (огнестойкий)
Состав работ:
1. Установка элементов крепления.
2. Сборка и установка каркасов.
3. Облицовка плитами потолков.
______________
НР 89%=105%*0.85 от ФОТ
57903,67
______________
СП 44%=55%*0.8 от ФОТ
28626,53</t>
  </si>
  <si>
    <t>01.6.04.02-0014</t>
  </si>
  <si>
    <t>Панели потолочные с комплектующими: ARMSTRONG OASIS</t>
  </si>
  <si>
    <t>м2</t>
  </si>
  <si>
    <t>Стены</t>
  </si>
  <si>
    <t>ГЭСН15-02-016-01</t>
  </si>
  <si>
    <t>Штукатурка поверхностей внутри здания цементно-известковым или цементным раствором по камню и бетону простая стен
Состав работ:
1. Набивка полос штукатурной сетки в местах примыканий.
2. Нанесение раствора на поверхности с разравниванием и затиркой накрывочного слоя.
3. Оштукатуривание откосов ниш отопления.
4. Обмазка раствором коробок, наличников и плинтусов.
______________
НР 89%=105%*0.85 от ФОТ
3821,5
______________
СП 44%=55%*0.8 от ФОТ
1889,28</t>
  </si>
  <si>
    <t>Известковая окраска водными составами внутри помещений по штукатурке
Состав работ:
1. Очистка
2. Смачивание водой
3. Расшивка трещин
4. Сглаживание торцом дерева
5. Первая огрунтовка
6. Частичная подмазка
7. Шлифовка подмазанных мест
8. Окраска
______________
НР 89%=105%*0.85 от ФОТ
430,44
______________
СП 44%=55%*0.8 от ФОТ
212,8</t>
  </si>
  <si>
    <t>ГЭСН15-02-016-03</t>
  </si>
  <si>
    <t>Штукатурка поверхностей внутри здания цементно-известковым или цементным раствором по камню и бетону: улучшенная стен
Состав работ:
1. Набивка полос штукатурной сетки в местах примыканий.
2. Нанесение раствора на поверхности с разравниванием и затиркой накрывочного слоя.
3. Оштукатуривание откосов ниш отопления.
4. Обмазка раствором коробок, наличников и плинтусов.
______________
НР 89%=105%*0.85 от ФОТ
10892,41
______________
СП 44%=55%*0.8 от ФОТ
5385,01</t>
  </si>
  <si>
    <t>ГЭСН15-02-019-03</t>
  </si>
  <si>
    <t>Сплошное выравнивание внутренних поверхностей (однослойное оштукатуривание) из сухих растворных смесей толщиной до 10 мм: стен
Состав работ:
1. Приготовление штукатурного раствора из сухих смесей.
2. Огрунтовка поверхностей.
3. Нанесение раствора вручную с затиркой.
4. Нанесение раствора для отделки плоскостей лузг и усенков.
______________
НР 89%=105%*0.85 от ФОТ
116181,85
______________
СП 44%=55%*0.8 от ФОТ
57438,22</t>
  </si>
  <si>
    <t>ГЭСН15-01-019-05</t>
  </si>
  <si>
    <t>Гладкая облицовка стен, столбов, пилястр и откосов (без карнизных, плинтусных и угловых плиток) без установки плиток туалетного гарнитура на клее из сухих смесей по кирпичу и бетону
Состав работ:
1. Сортировка плиток.
2. Облицовка поверхностей.
3. Приготовление клея из сухой смеси.
4. Перерубка плиток и подточка кромок.
5. Заполнение швов.
6. Распудривание облицованных поверхностей.
7. Очистка и промывка поверхности облицовки.
______________
НР 89%=105%*0.85 от ФОТ
114228,87
______________
СП 44%=55%*0.8 от ФОТ
56472,7</t>
  </si>
  <si>
    <t>04.3.02.09-0741</t>
  </si>
  <si>
    <t>Смесь сухая: (фуга) АТЛАС разных цветов для заделки швов водостойкая</t>
  </si>
  <si>
    <t>06.2.01.02-0011</t>
  </si>
  <si>
    <t>Плитки керамические глазурованные для внутренней облицовки стен: гладкие без завала белые</t>
  </si>
  <si>
    <t>14.1.06.02-0001</t>
  </si>
  <si>
    <t>Клей для облицовочных работ водостойкий «Плюс» (сухая смесь)</t>
  </si>
  <si>
    <t>ГЭСН11-01-047-01</t>
  </si>
  <si>
    <t>Устройство покрытий из плит керамогранитных размером: 40х40 см
Состав работ:
1. Приготовление клеевого раствора.
2. Распиловка плиток.
3. Очистка и огрунтовка поверхности.
4. Укладка керамогранитных плиток.
5. Калибровка швов.
6. Затирка швов.
7. Очистка поверхности.
______________
НР 105%=123%*0.85 от ФОТ
12984,8
______________
СП 60%=75%*0.8 от ФОТ
7419,89</t>
  </si>
  <si>
    <t>11.2.04.05-0001</t>
  </si>
  <si>
    <t>Рейки деревянные 8х18 мм</t>
  </si>
  <si>
    <t>м3</t>
  </si>
  <si>
    <t>ГЭСН15-04-007-01</t>
  </si>
  <si>
    <t>Окраска водно-дисперсионными акриловыми составами улучшенная: по штукатурке стен
Состав работ:
1. Нанесение шпатлевки на трещины и раковины.
2. Шлифовка подмазанных мест.
3. Шпатлевание поверхности.
4. Шлифовка прошпатлеванной поверхности.
5. Грунтование поверхности.
6. Шлифовка прогрунтованной поверхности.
7. Окраска поверхности за 2 раза.
______________
НР 89%=105%*0.85 от ФОТ
84123,62
______________
СП 44%=55%*0.8 от ФОТ
41589,2</t>
  </si>
  <si>
    <t>ГЭСН15-04-005-03</t>
  </si>
  <si>
    <t>Окраска поливинилацетатными водоэмульсионными составами улучшенная: по штукатурке стен
Состав работ:
1. Нанесение шпатлевки на трещины и раковины.
2. Шлифовка подмазанных мест.
3. Окраска поверхностей.
______________
НР 89%=105%*0.85 от ФОТ
72025,43
______________
СП 44%=55%*0.8 от ФОТ
35608,08</t>
  </si>
  <si>
    <t>Раздел 2. Отделочные работы.  Блок Б</t>
  </si>
  <si>
    <t>Сплошное выравнивание внутренних бетонных поверхностей (однослойное оштукатуривание) известковым раствором: потолков
Состав работ:
1. Нанесение раствора вручную с затиркой.
2. Нанесение раствора для отделки плоскостей лузг и усенков.
______________
НР 89%=105%*0.85 от ФОТ
64633,01
______________
СП 44%=55%*0.8 от ФОТ
31953,4</t>
  </si>
  <si>
    <t>ГЭСН15-02-016-04</t>
  </si>
  <si>
    <t>Штукатурка поверхностей внутри здания цементно-известковым или цементным раствором по камню и бетону: улучшенная потолков
Состав работ:
1. Набивка полос штукатурной сетки в местах примыканий.
2. Нанесение раствора на поверхности с разравниванием и затиркой накрывочного слоя.
3. Оштукатуривание откосов ниш отопления.
4. Обмазка раствором коробок, наличников и плинтусов.
______________
НР 89%=105%*0.85 от ФОТ
5817,97
______________
СП 44%=55%*0.8 от ФОТ
2876,3</t>
  </si>
  <si>
    <t>Известковая окраска водными составами внутри помещений: по штукатурке
Состав работ:
1. Очистка
2. Смачивание водой
3. Расшивка трещин
4. Сглаживание торцом дерева
5. Первая огрунтовка
6. Частичная подмазка
7. Шлифовка подмазанных мест
8. Окраска
______________
НР 89%=105%*0.85 от ФОТ
1066,59
______________
СП 44%=55%*0.8 от ФОТ
527,3</t>
  </si>
  <si>
    <t>Окраска водно-дисперсионными акриловыми составами улучшенная: по штукатурке потолков
Состав работ:
1. Нанесение шпатлевки на трещины и раковины.
2. Шлифовка подмазанных мест.
3. Шпатлевание поверхности.
4. Шлифовка прошпатлеванной поверхности.
5. Грунтование поверхности.
6. Шлифовка прогрунтованной поверхности.
7. Окраска поверхности за 2 раза.
______________
НР 89%=105%*0.85 от ФОТ
50076,63
______________
СП 44%=55%*0.8 от ФОТ
24756,99</t>
  </si>
  <si>
    <t>Улучшенная окраска масляными составами по штукатурке потолков
Состав работ:
1. Очистка
2. Сглаживание торцом дерева
3. Расшивка трещин
4. Проолифка
5. Частичная подмазка с проолифкой подмазанных мест
6. Шлифовка подмазанных мест
7. Первая сплошная шпатлевка
8. Шлифовка
9. Огрунтовка
10. Флейцевание
11. Шлифовка
12. Первая окраска
13. Флейцевание
14. Шлифовка
15. Вторая окраска
16. Флейцевание или торцевание
17. Вытягивание филенок
______________
НР 89%=105%*0.85 от ФОТ
8481,27
______________
СП 44%=55%*0.8 от ФОТ
4192,99</t>
  </si>
  <si>
    <t>Окраска поливинилацетатными водоэмульсионными составами улучшенная: по штукатурке потолков
Состав работ:
1. Нанесение шпатлевки на трещины и раковины.
2. Шлифовка подмазанных мест.
3. Окраска поверхностей.
______________
НР 89%=105%*0.85 от ФОТ
14478,09
______________
СП 44%=55%*0.8 от ФОТ
7157,71</t>
  </si>
  <si>
    <t>Устройство: подвесных потолков типа &lt;Армстронг&gt; по каркасу из оцинкованного профиля (огнестойкий)
Состав работ:
1. Установка элементов крепления.
2. Сборка и установка каркасов.
3. Облицовка плитами потолков.
______________
НР 89%=105%*0.85 от ФОТ
20243,2
______________
СП 44%=55%*0.8 от ФОТ
10007,87</t>
  </si>
  <si>
    <t>Штукатурка поверхностей внутри здания цементно-известковым или цементным раствором по камню и бетону простая стен
Состав работ:
1. Набивка полос штукатурной сетки в местах примыканий.
2. Нанесение раствора на поверхности с разравниванием и затиркой накрывочного слоя.
3. Оштукатуривание откосов ниш отопления.
4. Обмазка раствором коробок, наличников и плинтусов.
______________
НР 89%=105%*0.85 от ФОТ
14449,31
______________
СП 44%=55%*0.8 от ФОТ
7143,48</t>
  </si>
  <si>
    <t>Известковая окраска водными составами внутри помещений по штукатурке
Состав работ:
1. Очистка
2. Смачивание водой
3. Расшивка трещин
4. Сглаживание торцом дерева
5. Первая огрунтовка
6. Частичная подмазка
7. Шлифовка подмазанных мест
8. Окраска
______________
НР 89%=105%*0.85 от ФОТ
1627,52
______________
СП 44%=55%*0.8 от ФОТ
804,61</t>
  </si>
  <si>
    <t>Сплошное выравнивание внутренних поверхностей (однослойное оштукатуривание) из сухих растворных смесей толщиной до 10 мм: стен
Состав работ:
1. Приготовление штукатурного раствора из сухих смесей.
2. Огрунтовка поверхностей.
3. Нанесение раствора вручную с затиркой.
4. Нанесение раствора для отделки плоскостей лузг и усенков.
______________
НР 89%=105%*0.85 от ФОТ
69142,3
______________
СП 44%=55%*0.8 от ФОТ
34182,71</t>
  </si>
  <si>
    <t>Штукатурка поверхностей внутри здания цементно-известковым или цементным раствором по камню и бетону: улучшенная стен
Состав работ:
1. Набивка полос штукатурной сетки в местах примыканий.
2. Нанесение раствора на поверхности с разравниванием и затиркой накрывочного слоя.
3. Оштукатуривание откосов ниш отопления.
4. Обмазка раствором коробок, наличников и плинтусов.
______________
НР 89%=105%*0.85 от ФОТ
1862,6
______________
СП 44%=55%*0.8 от ФОТ
920,84</t>
  </si>
  <si>
    <t>Окраска водно-дисперсионными акриловыми составами улучшенная: по штукатурке стен
Состав работ:
1. Нанесение шпатлевки на трещины и раковины.
2. Шлифовка подмазанных мест.
3. Шпатлевание поверхности.
4. Шлифовка прошпатлеванной поверхности.
5. Грунтование поверхности.
6. Шлифовка прогрунтованной поверхности.
7. Окраска поверхности за 2 раза.
______________
НР 89%=105%*0.85 от ФОТ
59283,48
______________
СП 44%=55%*0.8 от ФОТ
29308,69</t>
  </si>
  <si>
    <t>Окраска поливинилацетатными водоэмульсионными составами улучшенная: по штукатурке стен
Состав работ:
1. Нанесение шпатлевки на трещины и раковины.
2. Шлифовка подмазанных мест.
3. Окраска поверхностей.
______________
НР 89%=105%*0.85 от ФОТ
34391,43
______________
СП 44%=55%*0.8 от ФОТ
17002,51</t>
  </si>
  <si>
    <t>Гладкая облицовка стен, столбов, пилястр и откосов (без карнизных, плинтусных и угловых плиток) без установки плиток туалетного гарнитура на клее из сухих смесей по кирпичу и бетону
Состав работ:
1. Сортировка плиток.
2. Облицовка поверхностей.
3. Приготовление клея из сухой смеси.
4. Перерубка плиток и подточка кромок.
5. Заполнение швов.
6. Распудривание облицованных поверхностей.
7. Очистка и промывка поверхности облицовки.
______________
НР 89%=105%*0.85 от ФОТ
108642,95
______________
СП 44%=55%*0.8 от ФОТ
53711,12</t>
  </si>
  <si>
    <t>Раздел 3. Окна</t>
  </si>
  <si>
    <t>Индивидуальные оконные блоки из ПВХ профилей</t>
  </si>
  <si>
    <t>ГЭСН10-01-034-06</t>
  </si>
  <si>
    <t>Установка в жилых и общественных зданиях оконных блоков из ПВХ профилей: поворотных (откидных, поворотно-откидных) с площадью проема более 2 м2 двухстворчатых (О-1,1*,2)
Состав работ:
1. Подготовка рамы к предварительной установке в проем.
2. Установка рамы на технологические клинья в проем и выставление в горизонтальной плоскости.
3. Устройство на раме отметок для сверления отверстий под дюбель.
4. Извлечение рамы.
5. Сверление отверстий под дюбеля (снаружи внутрь рамы).
6. Установка рамы в проем с выставлением по уровню в горизонтальной и вертикальной плоскостях и закреплением в проеме клиньями.
7. Сверление стены под дюбеля по имеющимся отверстиям.
8. Установка дюбелей.
9. Заполнение зазора между рамой и стеной монтажной пеной.
10. Установка стеклопакетов.
11. Устройство наружного водоизоляционного паропроницаемого слоя.
12. Устройство внутреннего пароизоляционного слоя.
13. Установка фурнитуры.
______________
НР 100%=118%*0.85 от ФОТ
46293,02
______________
СП 50%=63%*0.8 от ФОТ
23146,51</t>
  </si>
  <si>
    <t>11.3.02.01-0027</t>
  </si>
  <si>
    <t>(О-1,1*) Блок оконный пластиковый: двустворчатый, с глухой и поворотно-откидной створкой, однокамерным стеклопакетом (24 мм), площадью до 3,5 м2</t>
  </si>
  <si>
    <t>11.3.02.01-0026</t>
  </si>
  <si>
    <t>(О-2) Блок оконный пластиковый: двустворчатый, с глухой и поворотно-откидной створкой, однокамерным стеклопакетом (24 мм), площадью до 3 м2</t>
  </si>
  <si>
    <t>ГЭСН10-01-034-05</t>
  </si>
  <si>
    <t>Установка в жилых и общественных зданиях оконных блоков из ПВХ профилей: поворотных (откидных, поворотно-откидных) с площадью проема до 2 м2 двухстворчатых (О-3)
Состав работ:
1. Подготовка рамы к предварительной установке в проем.
2. Установка рамы на технологические клинья в проем и выставление в горизонтальной плоскости.
3. Устройство на раме отметок для сверления отверстий под дюбель.
4. Извлечение рамы.
5. Сверление отверстий под дюбеля (снаружи внутрь рамы).
6. Установка рамы в проем с выставлением по уровню в горизонтальной и вертикальной плоскостях и закреплением в проеме клиньями.
7. Сверление стены под дюбеля по имеющимся отверстиям.
8. Установка дюбелей.
9. Заполнение зазора между рамой и стеной монтажной пеной.
10. Установка стеклопакетов.
11. Устройство наружного водоизоляционного паропроницаемого слоя.
12. Устройство внутреннего пароизоляционного слоя.
13. Установка фурнитуры.
______________
НР 100%=118%*0.85 от ФОТ
10693,39
______________
СП 50%=63%*0.8 от ФОТ
5346,7</t>
  </si>
  <si>
    <t>11.3.02.01-0024</t>
  </si>
  <si>
    <t>(О-3) Блок оконный пластиковый: двустворчатый, с глухой и поворотно-откидной створкой, однокамерным стеклопакетом (24 мм), площадью до 2 м2</t>
  </si>
  <si>
    <t>ГЭСН10-01-034-03</t>
  </si>
  <si>
    <t>Установка в жилых и общественных зданиях оконных блоков из ПВХ профилей: поворотных (откидных, поворотно-откидных) с площадью проема до 2 м2 одностворчатых (О-4,5,6)
Состав работ:
1. Подготовка рамы к предварительной установке в проем.
2. Установка рамы на технологические клинья в проем и выставление в горизонтальной плоскости.
3. Устройство на раме отметок для сверления отверстий под дюбель.
4. Извлечение рамы.
5. Сверление отверстий под дюбеля (снаружи внутрь рамы).
6. Установка рамы в проем с выставлением по уровню в горизонтальной и вертикальной плоскостях и закреплением в проеме клиньями.
7. Сверление стены под дюбеля по имеющимся отверстиям.
8. Установка дюбелей.
9. Заполнение зазора между рамой и стеной монтажной пеной.
10. Установка стеклопакетов.
11. Устройство наружного водоизоляционного паропроницаемого слоя.
12. Устройство внутреннего пароизоляционного слоя.
13. Установка фурнитуры.
______________
НР 100%=118%*0.85 от ФОТ
6238,6
______________
СП 50%=63%*0.8 от ФОТ
3119,3</t>
  </si>
  <si>
    <t>11.3.02.02-0018</t>
  </si>
  <si>
    <t>(О-4,5,6) Блок оконный пластиковый: одностворчатый, с поворотно-откидной створкой, однокамерным стеклопакетом (24 мм), площадью до 1,5 м2</t>
  </si>
  <si>
    <t>Установка в жилых и общественных зданиях оконных блоков из ПВХ профилей: поворотных (откидных, поворотно-откидных) с площадью проема до 2 м2 одностворчатых (О-12)
Состав работ:
1. Подготовка рамы к предварительной установке в проем.
2. Установка рамы на технологические клинья в проем и выставление в горизонтальной плоскости.
3. Устройство на раме отметок для сверления отверстий под дюбель.
4. Извлечение рамы.
5. Сверление отверстий под дюбеля (снаружи внутрь рамы).
6. Установка рамы в проем с выставлением по уровню в горизонтальной и вертикальной плоскостях и закреплением в проеме клиньями.
7. Сверление стены под дюбеля по имеющимся отверстиям.
8. Установка дюбелей.
9. Заполнение зазора между рамой и стеной монтажной пеной.
10. Установка стеклопакетов.
11. Устройство наружного водоизоляционного паропроницаемого слоя.
12. Устройство внутреннего пароизоляционного слоя.
13. Установка фурнитуры.
______________
НР 100%=118%*0.85 от ФОТ
277,34
______________
СП 50%=63%*0.8 от ФОТ
138,67</t>
  </si>
  <si>
    <t>11.3.02.03-0001</t>
  </si>
  <si>
    <t>(О-12) Блоки оконные из поливинилхлоридных профилей с листовым стеклом и стеклопакетом: ОПРСП 9-12, площадью 1,01 м2 (ГОСТ 30674- 99)</t>
  </si>
  <si>
    <t>Индивидуальные противопожарные окна (EI30) (О-7,8,9,10)</t>
  </si>
  <si>
    <t>ГЭСН09-04-013-04</t>
  </si>
  <si>
    <t>Установка противопожарных окон: двустворчатых  (О-7,8,9)
Состав работ:
1. Установка и крепление металлической рамы в дверном проеме с проверкой правильности установки.
2. Навеска дверных полотен двупольной двери.
3. Установка дверных приборов.
4. Установка и закрепление устройства самозакрывания (доводчик).
______________
НР 77%=90%*0.85 от ФОТ
10942,92
______________
СП 68%=85%*0.8 от ФОТ
9663,88</t>
  </si>
  <si>
    <t>ГЭСН09-04-013-03</t>
  </si>
  <si>
    <t>Установка противопожарных окон: одностворчатых  (О-10)
Состав работ:
1. Установка и крепление металлической рамы в дверном проеме с проверкой правильности установки.
2. Навеска дверного полотна однопольной двери.
3. Установка дверных приборов.
4. Установка и закрепление устройства самозакрывания (доводчик).
______________
НР 77%=90%*0.85 от ФОТ
334,88
______________
СП 68%=85%*0.8 от ФОТ
295,74</t>
  </si>
  <si>
    <t>Прайс
прим</t>
  </si>
  <si>
    <t>Окна металлические противопожарные (EI30) Ц=17000/1,18*1,02</t>
  </si>
  <si>
    <t>Плиты подоконные ПВХ</t>
  </si>
  <si>
    <t>ГЭСН10-01-035-03</t>
  </si>
  <si>
    <t>Установка подоконных досок из ПВХ: в каменных стенах толщиной свыше 0,51 м
Состав работ:
1. Заведение подоконной доски в подоконный паз оконного блока с выставлением по уровню.
2. Фиксация подоконника с помощью клиньев.
3. Обработка швов и пустот пеной.
______________
НР 100%=118%*0.85 от ФОТ
5242,71
______________
СП 50%=63%*0.8 от ФОТ
2621,36</t>
  </si>
  <si>
    <t>100 м</t>
  </si>
  <si>
    <t>11.3.03.01-0007</t>
  </si>
  <si>
    <t>Доски подоконные ПВХ, шириной: 400 мм</t>
  </si>
  <si>
    <t>м</t>
  </si>
  <si>
    <t>Раздел 4. Двери</t>
  </si>
  <si>
    <t>Двери индивидуальные наружные из ПВХ профилей (Д1,Д2,Д3)</t>
  </si>
  <si>
    <t>ГЭСН10-01-047-02</t>
  </si>
  <si>
    <t>Установка блоков из ПВХ в наружных и внутренних дверных проемах: в каменных стенах площадью проема более 3 м2 (Д1,Д2,Д3)
Состав работ:
1. Подготовка дверного блока к предварительной установке в проем.
2. Установка дверной коробки на технологические клинья в проем и выставление в горизонтальной плоскости.
3. Устройство отметок в дверной коробке для сверления отверстий под дюбеля.
4. Извлечение дверной коробки из проема.
5. Сверление отверстий под дюбеля.
6. Установка дверной коробки в проем с выставлением по уровню в горизонтальной и вертикальной плоскости и закреплением в проеме клиньями.
7. Сверление стены под дюбеля по имеющимся отверстиям в дверной коробке.
8. Установка дюбелей.
9. Заполнение зазора между дверной коробкой и стеной монтажной пеной.
10. Устройство наружного водоизоляционного паропроницаемого слоя.
11. Устройство внутреннего пароизоляционного слоя.
12. Установка дверной фурнитуры.
13. Устройство "порожка".
14. Навеска створок.
______________
НР 100%=118%*0.85 от ФОТ
5697,66
______________
СП 50%=63%*0.8 от ФОТ
2848,83</t>
  </si>
  <si>
    <t>11.3.01.01-0024</t>
  </si>
  <si>
    <t>Блоки дверные входные пластиковые: с простой коробкой, двупольная с офисной фурнитурой, с однокамерным стеклопакетом (24 мм), площадь от 3-3,5 м2</t>
  </si>
  <si>
    <t>Двери наружные металлические (Д4, Д6)</t>
  </si>
  <si>
    <t>ГЭСН09-04-012-01</t>
  </si>
  <si>
    <t>Установка металлических дверных блоков в готовые проемы (Д4, Д6)
Состав работ:
1. Подготовка дверного блока к предварительной установке в проем.
2. Установка дверной коробки в проем.
3. Разметка мест установки закладных деталей для крепления коробки.
4. Сверление отверстий для установки анкеров.
5. Приварка закладных деталей к анкеру и коробке с выверкой в проектное положение.
6. Заделка стыков между коробкой и дверным откосом монтажной пеной.
7. Навешивание дверного полотна на коробку с выверкой в проектное положение.
8. Установка противосъемных упоров.
9. Разметка, врезка и проверка механизмов дверного замка.
10. Обработка мест сварки электрошлифовальной машиной.
______________
НР 77%=90%*0.85 от ФОТ
2184,64
______________
СП 68%=85%*0.8 от ФОТ
1929,3</t>
  </si>
  <si>
    <t>01.7.04.07-0011</t>
  </si>
  <si>
    <t>Скобяные изделия для блоков входных однопольных</t>
  </si>
  <si>
    <t>компл.</t>
  </si>
  <si>
    <t>07.1.01.03-0022</t>
  </si>
  <si>
    <t>Двери стальные утепленные двупольные: 2ДСУ 2.02.4</t>
  </si>
  <si>
    <t>шт</t>
  </si>
  <si>
    <t>Двери внутренние металлические (Д7,Д8,Д9)</t>
  </si>
  <si>
    <t>Установка металлических дверных блоков в готовые проемы (Д7,Д8,Д9)
Состав работ:
1. Подготовка дверного блока к предварительной установке в проем.
2. Установка дверной коробки в проем.
3. Разметка мест установки закладных деталей для крепления коробки.
4. Сверление отверстий для установки анкеров.
5. Приварка закладных деталей к анкеру и коробке с выверкой в проектное положение.
6. Заделка стыков между коробкой и дверным откосом монтажной пеной.
7. Навешивание дверного полотна на коробку с выверкой в проектное положение.
8. Установка противосъемных упоров.
9. Разметка, врезка и проверка механизмов дверного замка.
10. Обработка мест сварки электрошлифовальной машиной.
______________
НР 77%=90%*0.85 от ФОТ
3244,88
______________
СП 68%=85%*0.8 от ФОТ
2865,61</t>
  </si>
  <si>
    <t>01.7.04.07-0003</t>
  </si>
  <si>
    <t>Скобяные изделия для блоков входных дверей в: помещение однопольных</t>
  </si>
  <si>
    <t>07.1.01.03-0021</t>
  </si>
  <si>
    <t>Двери стальные (Д7,Д8,Д9)</t>
  </si>
  <si>
    <t>Двери индивидуальные внутренние металлические противопожарные (Д-10,11,12,13,14,15,32)</t>
  </si>
  <si>
    <t>ГЭСН09-04-013-01</t>
  </si>
  <si>
    <t>Установка противопожарных дверей: однопольных глухих
Состав работ:
1. Установка и крепление металлической рамы в дверном проеме с проверкой правильности установки.
2. Навеска дверного полотна однопольной двери.
3. Установка дверных приборов.
4. Установка и закрепление устройства самозакрывания (доводчик).
______________
НР 77%=90%*0.85 от ФОТ
6635,44
______________
СП 68%=85%*0.8 от ФОТ
5859,87</t>
  </si>
  <si>
    <t>07.1.01.01-0013</t>
  </si>
  <si>
    <t>(Д-10)Дверь противопожарная металлическая: однопольная ДПМ-01/30, размером 940х2010 мм</t>
  </si>
  <si>
    <t>07.1.01.01-0012</t>
  </si>
  <si>
    <t>(Д-11) Дверь противопожарная металлическая: однопольная ДПМ-01/30, размером 870х1710 мм</t>
  </si>
  <si>
    <t>(Д-14,15,32) Дверь противопожарная металлическая: однопольная ДПМ-01/30, размером 940х2070 мм</t>
  </si>
  <si>
    <t>ГЭСН09-04-013-02</t>
  </si>
  <si>
    <t>Установка противопожарных дверей: двупольных глухих
Состав работ:
1. Установка и крепление металлической рамы в дверном проеме с проверкой правильности установки.
2. Навеска дверных полотен двупольной двери.
3. Установка дверных приборов.
4. Установка и закрепление устройства самозакрывания (доводчик).
______________
НР 77%=90%*0.85 от ФОТ
5591,51
______________
СП 68%=85%*0.8 от ФОТ
4937,96</t>
  </si>
  <si>
    <t>07.1.01.01-0004</t>
  </si>
  <si>
    <t>(Д-12) Дверь противопожарная металлическая: двупольная ДПМ-02/30, размером 1500х2100 мм</t>
  </si>
  <si>
    <t>07.1.01.01-0003</t>
  </si>
  <si>
    <t>(Д-13) Дверь противопожарная металлическая: двупольная ДПМ-02/30, размером 1400х2100 мм</t>
  </si>
  <si>
    <t>01.7.04.01-0011</t>
  </si>
  <si>
    <t>Закрыватель дверной гидравлический рычажный в алюминиевом корпусе</t>
  </si>
  <si>
    <t>Двери индивидуальные наружные металлические противопожарные (Д-30)</t>
  </si>
  <si>
    <t>Установка противопожарных дверей: двупольных глухих
Состав работ:
1. Установка и крепление металлической рамы в дверном проеме с проверкой правильности установки.
2. Навеска дверных полотен двупольной двери.
3. Установка дверных приборов.
4. Установка и закрепление устройства самозакрывания (доводчик).
______________
НР 77%=90%*0.85 от ФОТ
1084,53
______________
СП 68%=85%*0.8 от ФОТ
957,77</t>
  </si>
  <si>
    <t>(Д-30)Дверь противопожарная металлическая: двупольная ДПМ-02/30, размером 1500х2100 мм</t>
  </si>
  <si>
    <t>Двери индивидуальные внутренние деревянные (Д-16 - Д-26, Д-36,37,38,39)</t>
  </si>
  <si>
    <t>ГЭСН10-01-039-03</t>
  </si>
  <si>
    <t>Установка блоков в наружных и внутренних дверных проемах: в перегородках и деревянных нерубленых стенах, площадь проема до 3 м2
Состав работ:
1. Установка блоков.
2. Установка наличников.
3. Установка приборов.
______________
НР 100%=118%*0.85 от ФОТ
45297,26
______________
СП 50%=63%*0.8 от ФОТ
22648,63</t>
  </si>
  <si>
    <t>11.2.02.01-0054</t>
  </si>
  <si>
    <t>(Д-16,17) Блоки дверные двупольные с полотном: под остекление ДО 21-14</t>
  </si>
  <si>
    <t>11.2.02.01-0051</t>
  </si>
  <si>
    <t>(Д-18,19,36,38) Блоки дверные двупольные с полотном: глухим ДГ 21-14</t>
  </si>
  <si>
    <t>11.2.02.01-0075</t>
  </si>
  <si>
    <t>(Д-20,21,37) Блоки дверные однопольные с полотном: под остекление ДО 21-9,5</t>
  </si>
  <si>
    <t>11.2.02.01-0072</t>
  </si>
  <si>
    <t>(Д-22,232,24,25) Блоки дверные однопольные с полотном: глухим ДГ 21-9,5</t>
  </si>
  <si>
    <t>11.2.02.01-0071</t>
  </si>
  <si>
    <t>(Д-26,39) Блоки дверные однопольные с полотном: глухим ДГ 21-7, площадь 1,39 м2</t>
  </si>
  <si>
    <t>01.7.04.07-0002</t>
  </si>
  <si>
    <t>Скобяные изделия для блоков входных дверей в: помещение двупольных</t>
  </si>
  <si>
    <t>ГЭСН15-05-002-02</t>
  </si>
  <si>
    <t>Остекление оконным стеклом прочих дверей: на эластичных прокладках
Состав работ:
1. Нарезка стекол частично.
2. Снятие и навеска при необходимости оконных створок; разъединение и соединение полотен балконных дверных блоков.
3. Очистка фальцев от грязи и коррозии и частичная проолифка их.
4. Вставка стекол на штапиках по замазке (или на двойной замазке) и на эластичной прокладке.
5. Установка штапиков, зажимов и кляммер (в необходимых случаях).
6. Протирка стекол.
______________
НР 89%=105%*0.85 от ФОТ
17354,07
______________
СП 44%=55%*0.8 от ФОТ
8579,54</t>
  </si>
  <si>
    <t>01.8.02.06-0045</t>
  </si>
  <si>
    <t>Стекло листовое оконное толщиной: 6 мм</t>
  </si>
  <si>
    <t>Двери индивидуальные внутренние алюминиевые (Д-27)</t>
  </si>
  <si>
    <t>ГЭСН09-04-010-01</t>
  </si>
  <si>
    <t>Монтаж витражей, витрин: с двойным или одинарным остеклением для высотных зданий
Состав работ:
1. Монтаж и крепление стальных конструкций витражей, витрин.
2. Устройство подмостей.
3. Антикоррозийное покрытие сварных швов.
______________
НР 77%=90%*0.85 от ФОТ
5327,89
______________
СП 68%=85%*0.8 от ФОТ
4705,15</t>
  </si>
  <si>
    <t>09.4.02.04-0009</t>
  </si>
  <si>
    <t>(Д-27) Двери распашные с притвором, одинарные, под полностью остекленные полотна: со средним импостом двупольные с равнопольными полотнами с порогом ДАО 21-16ПИ</t>
  </si>
  <si>
    <t>ГЭСН15-05-021-01</t>
  </si>
  <si>
    <t>Остекление в построечных условиях металлических переплетов двухслойными стеклопакетами площадью: до 0,5 м2
Состав работ:
1. Подготовка стеклопакетов.
2. Установка стеклопакетов с обрамлением их уплотнительной профильной резиной.
3. Протирка стеклопакетов.
4. Перестановка подмостей.
______________
НР 89%=105%*0.85 от ФОТ
752,27
______________
СП 44%=55%*0.8 от ФОТ
371,91</t>
  </si>
  <si>
    <t>ГЭСН09-04-012-02</t>
  </si>
  <si>
    <t>Установка дверного доводчика к алюминиевым дверям
Состав работ:
1. Разметка и сверление отверстий на скобе.
2. Приваривание скобы доводчика.
3. Крепление доводчика шуруповертом с проверкой действия.
4. Разметка и приваривание штанги доводчика.
5. Установка тяги и регулировка доводчика.
______________
НР 77%=90%*0.85 от ФОТ
956,71
______________
СП 68%=85%*0.8 от ФОТ
844,89</t>
  </si>
  <si>
    <t>Двери индивидуальные внутренние алюминиевые (Д-28,31,33,34,35)</t>
  </si>
  <si>
    <t>Монтаж витражей, витрин: с двойным или одинарным остеклением для высотных зданий
Состав работ:
1. Монтаж и крепление стальных конструкций витражей, витрин.
2. Устройство подмостей.
3. Антикоррозийное покрытие сварных швов.
______________
НР 77%=90%*0.85 от ФОТ
43035,38
______________
СП 68%=85%*0.8 от ФОТ
38005,27</t>
  </si>
  <si>
    <t>09.4.02.04-0011
прим</t>
  </si>
  <si>
    <t>(Д-28,33,35)Двери распашные с притвором, одинарные, под полностью остекленные полотна: со средним импостом двупольные с равнопольными полотнами с порогом ДАО 24-15ПИ</t>
  </si>
  <si>
    <t>09.4.02.04-0002
прим</t>
  </si>
  <si>
    <t>(Д-31,34)Двери распашные с притвором, одинарные, под полностью остекленные полотна: со средним импостом двупольные с неравнопольными полотнами без порога ДАО 24-13ВИ</t>
  </si>
  <si>
    <t>Остекление в построечных условиях металлических переплетов двухслойными стеклопакетами площадью: до 0,5 м2
Состав работ:
1. Подготовка стеклопакетов.
2. Установка стеклопакетов с обрамлением их уплотнительной профильной резиной.
3. Протирка стеклопакетов.
4. Перестановка подмостей.
______________
НР 89%=105%*0.85 от ФОТ
19893,17
______________
СП 44%=55%*0.8 от ФОТ
9834,83</t>
  </si>
  <si>
    <t>Защитные решетки на остекленных дверях</t>
  </si>
  <si>
    <t>ГЭСН20-02-002-01
прим</t>
  </si>
  <si>
    <t>Установка решеток жалюзийных площадью в свету: до 0,5 м2
Состав работ:
1. Установка решеток с выверкой и закреплением.
______________
НР 109%=128%*0.85 от ФОТ
49508,45
______________
СП 66%=83%*0.8 от ФОТ
29977,6</t>
  </si>
  <si>
    <t>19.2.03.02-0217
прим</t>
  </si>
  <si>
    <t>Решетки жалюзийные из алюминиевого профиля с порошковым покрытием , размером 400х500 мм</t>
  </si>
  <si>
    <t>Раздел 5. Индивидуальные деревянные фрамуги Ф-1 - Ф-5</t>
  </si>
  <si>
    <t>ГЭСН10-01-027-01</t>
  </si>
  <si>
    <t>Установка в жилых и общественных зданиях блоков оконных с переплетами: спаренными в стенах каменных площадью проема до 2 м2
Состав работ:
1. Установка блоков.
2. Заполнение зазора между рамой и стеной монтажной пеной.
3. Установка накладных приборов.
______________
НР 100%=118%*0.85 от ФОТ
4298,36
______________
СП 50%=63%*0.8 от ФОТ
2149,18</t>
  </si>
  <si>
    <t>11.2.07.11-0032</t>
  </si>
  <si>
    <t>Створки фрамужные площадь: 0,6-0,7 м2</t>
  </si>
  <si>
    <t>01.7.04.08-0121</t>
  </si>
  <si>
    <t>Скобяные изделия для оконных блоков со спаренными и одинарными переплетами общественных зданий одностворных: высотой до 1,2 м</t>
  </si>
  <si>
    <t>ГЭСН10-01-027-02</t>
  </si>
  <si>
    <t>Установка в жилых и общественных зданиях блоков оконных с переплетами: спаренными в стенах каменных площадью проема более 2 м2
Состав работ:
1. Установка блоков.
2. Заполнение зазора между рамой и стеной монтажной пеной.
3. Установка накладных приборов.
______________
НР 100%=118%*0.85 от ФОТ
4971,26
______________
СП 50%=63%*0.8 от ФОТ
2485,63</t>
  </si>
  <si>
    <t>ГЭСН15-05-001-05</t>
  </si>
  <si>
    <t>Остекление оконным стеклом фрамуг с одним переплетом
Состав работ:
1. Нарезка стекол частично.
2. Снятие и навеска при необходимости оконных створок, фрамуг и деревянных полотен; разъединение и соединение створок спаренных переплетов и полотен балконных дверей блоков.
3. Очистка фальцев от грязи и коррозии и частичная проолифка их.
4. Вставка стекол на штапиках по замазке (или на двойной замазке).
5. Установка штапиков.
6. Протирка стекол.
______________
НР 89%=105%*0.85 от ФОТ
5882,95
______________
СП 44%=55%*0.8 от ФОТ
2908,43</t>
  </si>
  <si>
    <t>01.8.02.06-0075</t>
  </si>
  <si>
    <t>Стекло листовое площадью до 1,0 м2, 1 группы, толщиной 4 мм, марки: М5</t>
  </si>
  <si>
    <t>Раздел 6. Индивидуальные алюминиевые витражи В-1,В-2</t>
  </si>
  <si>
    <t>Монтаж витражей, витрин: с двойным или одинарным остеклением для высотных зданий
Состав работ:
1. Монтаж и крепление стальных конструкций витражей, витрин.
2. Устройство подмостей.
3. Антикоррозийное покрытие сварных швов.
______________
НР 77%=90%*0.85 от ФОТ
13309,23
______________
СП 68%=85%*0.8 от ФОТ
11753,6</t>
  </si>
  <si>
    <t>09.3.04.03-0002</t>
  </si>
  <si>
    <t>Витраж на алюминиевом каркасе цельностеклянные</t>
  </si>
  <si>
    <t>ГЭСН15-05-021-02</t>
  </si>
  <si>
    <t>Остекление в построечных условиях металлических переплетов двухслойными стеклопакетами площадью: до 1 м2
Состав работ:
1. Подготовка стеклопакетов.
2. Установка стеклопакетов с обрамлением их уплотнительной профильной резиной.
3. Протирка стеклопакетов.
4. Перестановка подмостей.
______________
НР 89%=105%*0.85 от ФОТ
7314,35
______________
СП 44%=55%*0.8 от ФОТ
3616,08</t>
  </si>
  <si>
    <t>Раздел 7. Полы. Блок А</t>
  </si>
  <si>
    <t>Узел №2</t>
  </si>
  <si>
    <t>ГЭСН11-01-011-01</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</si>
  <si>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10557,6
______________
СП 60%=75%*0.8 от ФОТ
6032,92</t>
  </si>
  <si>
    <t>04.3.01.09-0015</t>
  </si>
  <si>
    <t>Раствор готовый кладочный цементный марки: 150</t>
  </si>
  <si>
    <t>ГЭСН26-01-041-02</t>
  </si>
  <si>
    <t>Изоляция изделиями из пенопласта на битуме холодных поверхностей покрытий и перекрытий сверху
Состав работ:
1. Подготовка изолируемой поверхности.
2. Распиловка плит.
3. Разогрев битума.
4. Покрытие изолируемой поверхности битумом.
5. Укладка теплоизоляционных материалов с подгонкой и креплением.
______________
НР 85%=100%*0.85 от ФОТ
8341,18
______________
СП 56%=70%*0.8 от ФОТ
5495,36</t>
  </si>
  <si>
    <t>12.2.05.06-0036</t>
  </si>
  <si>
    <t>Плиты теплоизоляционные из пенопласта полистирольного ПСБ- С-35</t>
  </si>
  <si>
    <t>ГЭСН15-07-001-01</t>
  </si>
  <si>
    <t>Герметизация противопожарных дверей, ворот, противодымных клапанов, фланцевых соединений воздуховодов, термоуплотнительной лентой ЛТСМ-1 (краевая (демпферная) лента)
Состав работ:
1. Подготовка поверхности.
2. Нанесение ленты на обработанную поверхность.
______________
НР 89%=105%*0.85 от ФОТ
639,79
______________
СП 44%=55%*0.8 от ФОТ
316,3</t>
  </si>
  <si>
    <t>01.7.06.11-0003</t>
  </si>
  <si>
    <t>Лента уплотнительная из пенополиэтилена с односторонним клеевым слоем, защищенным антиадгезионным материалом "Линотерм-П" марки PR 10/100</t>
  </si>
  <si>
    <t>10 м</t>
  </si>
  <si>
    <t>ГЭСН11-01-050-01</t>
  </si>
  <si>
    <t>Устройство пароизоляции из полиэтиленовой пленки в один слой насухо
Состав работ:
1. Раскатка рулонов пароизоляции с нарезкой на полотнища.
2. Укладка полиэтиленовой пленки в один слой на плиты перекрытий с напуском полотен.
3. Разметка и резка профиля по месту.
______________
НР 105%=123%*0.85 от ФОТ
962,64
______________
СП 60%=75%*0.8 от ФОТ
550,08</t>
  </si>
  <si>
    <t>ГЭСН11-01-015-01</t>
  </si>
  <si>
    <t>Устройство покрытий бетонных толщиной 30 мм (отливка)
Состав работ:
1. Подготовка оснований.
2. Устройство покрытий.
3. Уход за покрытиями.
______________
НР 105%=123%*0.85 от ФОТ
11241,97
______________
СП 60%=75%*0.8 от ФОТ
6423,98</t>
  </si>
  <si>
    <t>04.1.02.05-0006</t>
  </si>
  <si>
    <t>Бетон тяжелый, класс: В15 (М200)</t>
  </si>
  <si>
    <t>ГЭСН11-01-015-02</t>
  </si>
  <si>
    <t>Устройство покрытий на каждые 5 мм изменения толщины покрытия добавлять или исключать к расценке 11-01-015-01 (довести до толщ.59мм)
Состав работ:
1. Устройство покрытий.
______________
НР 105%=123%*0.85 от ФОТ
2118,78
______________
СП 60%=75%*0.8 от ФОТ
1210,73</t>
  </si>
  <si>
    <t>ГЭСН11-01-057-01</t>
  </si>
  <si>
    <t>Устройство гетерогенного и гомогенного покрытия на клее со свариванием полотнищ в стыках
Состав работ:
1. Распаковка и раскатывание рулонов с разметкой и нарезкой на полотнища и прирезка к выступающим частям помещения.
2. Скатывание полотнищ для последующей обработки клеем.
3. Нанесение клея на основание, укладка и приклеивание полотнищ с укатыванием.
4. Прорезка паза для шнура.
5. Сваривание полотнищ в стыках (горячая сварка).
6. Продувка места шва строительным пылесосом.
7. Срезка излишков сварочного шнура.
______________
НР 105%=123%*0.85 от ФОТ
12550,95
______________
СП 60%=75%*0.8 от ФОТ
7171,97</t>
  </si>
  <si>
    <t>01.6.03.04-0092</t>
  </si>
  <si>
    <t>Линолеум коммерческий гетерогенный: "ТАРКЕТТ ACCZENT MINERAL AS", с антистатическим эффектом (толщина 2 мм, толщина защитного слоя 0,7 мм, класс 34/43, пож. безопасность Г1, В2, РП1, Д2, Т2)</t>
  </si>
  <si>
    <t>ГЭСН11-01-040-03</t>
  </si>
  <si>
    <t>Устройство плинтусов поливинилхлоридных на винтах самонарезающих
Состав работ:
1. Подготовка поверхности мест установки плинтусов.
2. Примерка плинтусов по месту установки с разметкой отверстий шилом.
3. Нарезка плинтусов по размеру.
4. Сверление отверстий под дюбеля.
5. Установка дюбелей в отверстия.
6. Установка плинтусов самонарезающими винтами.
7. Установка соединителей между плинтусами.
8. Установка в местах поворотов углов наружных и внутренних.
9. Установка заглушек торцевых левых и правых.
______________
НР 105%=123%*0.85 от ФОТ
2139,02
______________
СП 60%=75%*0.8 от ФОТ
1222,3</t>
  </si>
  <si>
    <t>11.3.03.06-0001</t>
  </si>
  <si>
    <t>Плинтуса для полов пластиковые, 19х48 мм</t>
  </si>
  <si>
    <t>11.3.03.14-0001</t>
  </si>
  <si>
    <t>Заглушка торцевая для пластикового плинтуса левая, высота 48 мм</t>
  </si>
  <si>
    <t>100 шт</t>
  </si>
  <si>
    <t>11.3.03.14-0011</t>
  </si>
  <si>
    <t>Заглушки торцевая для пластикового плинтуса правая, высота 48 мм</t>
  </si>
  <si>
    <t>11.3.03.14-0021</t>
  </si>
  <si>
    <t>Соединитель для пластикового плинтуса, высота 48 мм</t>
  </si>
  <si>
    <t>11.3.03.14-0031</t>
  </si>
  <si>
    <t>Уголок внутренний для пластикового плинтуса, высота 48 мм</t>
  </si>
  <si>
    <t>11.3.03.14-0033</t>
  </si>
  <si>
    <t>Уголок наружный для пластикового плинтуса, высота 48 мм</t>
  </si>
  <si>
    <t>Узел №3</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</si>
  <si>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13106,45
______________
СП 60%=75%*0.8 от ФОТ
7489,4</t>
  </si>
  <si>
    <t>Изоляция изделиями из пенопласта на битуме холодных поверхностей покрытий и перекрытий сверху (экструдированный пенополистирол)
Состав работ:
1. Подготовка изолируемой поверхности.
2. Распиловка плит.
3. Разогрев битума.
4. Покрытие изолируемой поверхности битумом.
5. Укладка теплоизоляционных материалов с подгонкой и креплением.
______________
НР 85%=100%*0.85 от ФОТ
14792,76
______________
СП 56%=70%*0.8 от ФОТ
9745,82</t>
  </si>
  <si>
    <t>12.2.05.06-0039</t>
  </si>
  <si>
    <t>Плиты теплоизоляционные из пенопласта полистирольного ПСБ- С-50</t>
  </si>
  <si>
    <t>ГЭСН11-01-011-02</t>
  </si>
  <si>
    <t>Устройство стяжек на каждые 5 мм изменения толщины стяжки добавлять или исключать к расценке 11-01-011-01 (довести до толщ.50мм)
Состав работ:
1. Подготовка основания.
2. Укладка и разравнивание слоя раствора.
______________
НР 105%=123%*0.85 от ФОТ
1445,65
______________
СП 60%=75%*0.8 от ФОТ
826,09</t>
  </si>
  <si>
    <t>ГЭСН11-01-036-01</t>
  </si>
  <si>
    <t>Устройство покрытий: из линолеума на клее«Бустилат»
Состав работ:
1. Раскатывание рулонов с разметкой и нарезкой на полотнища.
2. Наклейка полотнищ с прирезкой в стыках.
______________
НР 105%=123%*0.85 от ФОТ
14520,14
______________
СП 60%=75%*0.8 от ФОТ
8297,22</t>
  </si>
  <si>
    <t>01.6.03.04-0266</t>
  </si>
  <si>
    <t>Линолеум ПВХ, шириной 1,5 м, толщиной 5 мм на теплозвукоизолирующей подоснове</t>
  </si>
  <si>
    <t>14.1.02.04-0101</t>
  </si>
  <si>
    <t>Клей «Бустилат»</t>
  </si>
  <si>
    <t>Устройство плинтусов поливинилхлоридных на винтах самонарезающих
Состав работ:
1. Подготовка поверхности мест установки плинтусов.
2. Примерка плинтусов по месту установки с разметкой отверстий шилом.
3. Нарезка плинтусов по размеру.
4. Сверление отверстий под дюбеля.
5. Установка дюбелей в отверстия.
6. Установка плинтусов самонарезающими винтами.
7. Установка соединителей между плинтусами.
8. Установка в местах поворотов углов наружных и внутренних.
9. Установка заглушек торцевых левых и правых.
______________
НР 105%=123%*0.85 от ФОТ
2655,7
______________
СП 60%=75%*0.8 от ФОТ
1517,54</t>
  </si>
  <si>
    <t>Узел №4</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</si>
  <si>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9005,49
______________
СП 60%=75%*0.8 от ФОТ
5146</t>
  </si>
  <si>
    <t>Изоляция изделиями из пенопласта на битуме холодных поверхностей покрытий и перекрытий сверху (экструдированный пенополистирол)
Состав работ:
1. Подготовка изолируемой поверхности.
2. Распиловка плит.
3. Разогрев битума.
4. Покрытие изолируемой поверхности битумом.
5. Укладка теплоизоляционных материалов с подгонкой и креплением.
______________
НР 85%=100%*0.85 от ФОТ
7114,92
______________
СП 56%=70%*0.8 от ФОТ
4687,47</t>
  </si>
  <si>
    <t>ГЭСН11-01-004-03</t>
  </si>
  <si>
    <t>Устройство гидроизоляции оклеечной рулонными материалами: на резино-битумной мастике, первый слой
Состав работ:
1. Подготовка основания.
2. Огрунтовка основания.
3. Устройство оклеечной изоляции.
4. Покрытие верхнего слоя изоляции мастикой.
5. Приготовление грунтовки.
______________
НР 105%=123%*0.85 от ФОТ
9295,32
______________
СП 60%=75%*0.8 от ФОТ
5311,61</t>
  </si>
  <si>
    <t>12.1.02.15-0021</t>
  </si>
  <si>
    <t>Гидростеклоизол</t>
  </si>
  <si>
    <t>Устройство стяжек на каждые 5 мм изменения толщины стяжки добавлять или исключать к расценке 11-01-011-01 (довести до толщ.40мм)
Состав работ:
1. Подготовка основания.
2. Укладка и разравнивание слоя раствора.
______________
НР 105%=123%*0.85 от ФОТ
662,2
______________
СП 60%=75%*0.8 от ФОТ
378,4</t>
  </si>
  <si>
    <t>ГЭСН11-01-027-06</t>
  </si>
  <si>
    <t>Устройство покрытий на растворе их сухой смеси с приготовлением раствора в построечных условиях из плиток гладких неглазурованных керамических для полов одноцветных
Состав работ:
1. Подготовка оснований.
2. Настилка покрытий из плиток.
3. Уход за покрытиями.
4. Очистка и промывка покрытий.
5. Приготовление раствора.
______________
НР 105%=123%*0.85 от ФОТ
30090,15
______________
СП 60%=75%*0.8 от ФОТ
17194,37</t>
  </si>
  <si>
    <t>14.1.06.04-0015</t>
  </si>
  <si>
    <t>Клей плиточный «Боларс Эластит» (с пластификатором)</t>
  </si>
  <si>
    <t>Узел №5</t>
  </si>
  <si>
    <t>ГЭСН11-01-001-02</t>
  </si>
  <si>
    <t>Уплотнение грунта: щебнем
Состав работ:
1. Планировка основания.
2. Поливка грунта водой.
3. Раскидывание, разравнивание и вдавливание гравия или щебня в грунт.
______________
НР 105%=123%*0.85 от ФОТ
109,53
______________
СП 60%=75%*0.8 от ФОТ
62,59</t>
  </si>
  <si>
    <t>02.2.05.04-0089</t>
  </si>
  <si>
    <t>Щебень из природного камня для строительных работ марка: 600, фракция 40-70 мм</t>
  </si>
  <si>
    <t>ГЭСН06-01-001-01</t>
  </si>
  <si>
    <t>Устройство бетонной подготовки
Состав работ:
1. Устройство бетонной подготовки.
______________
НР 89%=105%*0.85 от ФОТ
161,14
______________
СП 52%=65%*0.8 от ФОТ
94,15</t>
  </si>
  <si>
    <t>100 м3</t>
  </si>
  <si>
    <t>04.1.02.05-0040</t>
  </si>
  <si>
    <t>Бетон тяжелый, крупность заполнителя: 20 мм, класс В7,5 (М100)</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</si>
  <si>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490,64
______________
СП 60%=75%*0.8 от ФОТ
280,37</t>
  </si>
  <si>
    <t>Изоляция изделиями из пенопласта на битуме холодных поверхностей покрытий и перекрытий сверху (экструдированный пенополистирол)
Состав работ:
1. Подготовка изолируемой поверхности.
2. Распиловка плит.
3. Разогрев битума.
4. Покрытие изолируемой поверхности битумом.
5. Укладка теплоизоляционных материалов с подгонкой и креплением.
______________
НР 85%=100%*0.85 от ФОТ
553,78
______________
СП 56%=70%*0.8 от ФОТ
364,84</t>
  </si>
  <si>
    <t>Устройство стяжек на каждые 5 мм изменения толщины стяжки добавлять или исключать к расценке 11-01-011-01 (до 40мм)
Состав работ:
1. Подготовка основания.
2. Укладка и разравнивание слоя раствора.
______________
НР 105%=123%*0.85 от ФОТ
36,08
______________
СП 60%=75%*0.8 от ФОТ
20,62</t>
  </si>
  <si>
    <t>Устройство покрытий: из линолеума на клее«Бустилат»
Состав работ:
1. Раскатывание рулонов с разметкой и нарезкой на полотнища.
2. Наклейка полотнищ с прирезкой в стыках.
______________
НР 105%=123%*0.85 от ФОТ
543,56
______________
СП 60%=75%*0.8 от ФОТ
310,61</t>
  </si>
  <si>
    <t>Устройство плинтусов поливинилхлоридных на винтах самонарезающих
Состав работ:
1. Подготовка поверхности мест установки плинтусов.
2. Примерка плинтусов по месту установки с разметкой отверстий шилом.
3. Нарезка плинтусов по размеру.
4. Сверление отверстий под дюбеля.
5. Установка дюбелей в отверстия.
6. Установка плинтусов самонарезающими винтами.
7. Установка соединителей между плинтусами.
8. Установка в местах поворотов углов наружных и внутренних.
9. Установка заглушек торцевых левых и правых.
______________
НР 105%=123%*0.85 от ФОТ
98,76
______________
СП 60%=75%*0.8 от ФОТ
56,44</t>
  </si>
  <si>
    <t>Узел №6</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</si>
  <si>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11364,56
______________
СП 60%=75%*0.8 от ФОТ
6494,03</t>
  </si>
  <si>
    <t>Изоляция изделиями из пенопласта на битуме холодных поверхностей покрытий и перекрытий сверху (экструдированный пенополистирол)
Состав работ:
1. Подготовка изолируемой поверхности.
2. Распиловка плит.
3. Разогрев битума.
4. Покрытие изолируемой поверхности битумом.
5. Укладка теплоизоляционных материалов с подгонкой и креплением.
______________
НР 85%=100%*0.85 от ФОТ
12826,76
______________
СП 56%=70%*0.8 от ФОТ
8450,57</t>
  </si>
  <si>
    <t>14.3.01.02-0101</t>
  </si>
  <si>
    <t>Грунтовка акриловая: ВД-АК-133</t>
  </si>
  <si>
    <t>Узел №7</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</si>
  <si>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178,68
______________
СП 60%=75%*0.8 от ФОТ
102,1</t>
  </si>
  <si>
    <t>Изоляция изделиями из пенопласта на битуме холодных поверхностей покрытий и перекрытий сверху (экструдированный пенополистирол)
Состав работ:
1. Подготовка изолируемой поверхности.
2. Распиловка плит.
3. Разогрев битума.
4. Покрытие изолируемой поверхности битумом.
5. Укладка теплоизоляционных материалов с подгонкой и креплением.
______________
НР 85%=100%*0.85 от ФОТ
201,67
______________
СП 56%=70%*0.8 от ФОТ
132,87</t>
  </si>
  <si>
    <t>Устройство стяжек на каждые 5 мм изменения толщины стяжки добавлять или исключать к расценке 11-01-011-01 (довести до толщ.47мм)
Состав работ:
1. Подготовка основания.
2. Укладка и разравнивание слоя раствора.
______________
НР 105%=123%*0.85 от ФОТ
17,73
______________
СП 60%=75%*0.8 от ФОТ
10,13</t>
  </si>
  <si>
    <t>Устройство покрытий на растворе их сухой смеси с приготовлением раствора в построечных условиях из плиток гладких неглазурованных керамических для полов одноцветных
Состав работ:
1. Подготовка оснований.
2. Настилка покрытий из плиток.
3. Уход за покрытиями.
4. Очистка и промывка покрытий.
5. Приготовление раствора.
______________
НР 105%=123%*0.85 от ФОТ
597,03
______________
СП 60%=75%*0.8 от ФОТ
341,16</t>
  </si>
  <si>
    <t>Узел №8</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</si>
  <si>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17530
______________
СП 60%=75%*0.8 от ФОТ
10017,14</t>
  </si>
  <si>
    <t>ГЭСН11-01-051-04</t>
  </si>
  <si>
    <t>Устройство теплоизоляционного слоя из рулонных материалов (с учетом завода на стены)
Состав работ:
1. Раскатка рулонов теплоизоляции и нарезка их на полосы необходимого размера.
2. Укладка полос теплоизоляции и соединение их друг с другом липкой лентой.
______________
НР 105%=123%*0.85 от ФОТ
2167,46
______________
СП 60%=75%*0.8 от ФОТ
1238,55</t>
  </si>
  <si>
    <t>12.2.03.03-0003</t>
  </si>
  <si>
    <t>Отражающая изоляция "Пенофол 2000" тип: А, с односторонним фольгированием, толщина 6 мм</t>
  </si>
  <si>
    <t>Устройство стяжек на каждые 5 мм изменения толщины стяжки добавлять или исключать к расценке 11-01-011-01 (довести до толщ.40мм)
Состав работ:
1. Подготовка основания.
2. Укладка и разравнивание слоя раствора.
______________
НР 105%=123%*0.85 от ФОТ
1289,05
______________
СП 60%=75%*0.8 от ФОТ
736,6</t>
  </si>
  <si>
    <t>Устройство покрытий: из линолеума на клее«Бустилат»
Состав работ:
1. Раскатывание рулонов с разметкой и нарезкой на полотнища.
2. Наклейка полотнищ с прирезкой в стыках.
______________
НР 105%=123%*0.85 от ФОТ
19420,81
______________
СП 60%=75%*0.8 от ФОТ
11097,61</t>
  </si>
  <si>
    <t>Устройство плинтусов поливинилхлоридных на винтах самонарезающих
Состав работ:
1. Подготовка поверхности мест установки плинтусов.
2. Примерка плинтусов по месту установки с разметкой отверстий шилом.
3. Нарезка плинтусов по размеру.
4. Сверление отверстий под дюбеля.
5. Установка дюбелей в отверстия.
6. Установка плинтусов самонарезающими винтами.
7. Установка соединителей между плинтусами.
8. Установка в местах поворотов углов наружных и внутренних.
9. Установка заглушек торцевых левых и правых.
______________
НР 105%=123%*0.85 от ФОТ
3548,25
______________
СП 60%=75%*0.8 от ФОТ
2027,57</t>
  </si>
  <si>
    <t>Узел №9</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</si>
  <si>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2939,06
______________
СП 60%=75%*0.8 от ФОТ
1679,46</t>
  </si>
  <si>
    <t>Устройство гидроизоляции оклеечной рулонными материалами: на резино-битумной мастике, первый слой
Состав работ:
1. Подготовка основания.
2. Огрунтовка основания.
3. Устройство оклеечной изоляции.
4. Покрытие верхнего слоя изоляции мастикой.
5. Приготовление грунтовки.
______________
НР 105%=123%*0.85 от ФОТ
3033,64
______________
СП 60%=75%*0.8 от ФОТ
1733,51</t>
  </si>
  <si>
    <t>Устройство стяжек на каждые 5 мм изменения толщины стяжки добавлять или исключать к расценке 11-01-011-01 (довести до толщ.40мм)
Состав работ:
1. Подготовка основания.
2. Укладка и разравнивание слоя раствора.
______________
НР 105%=123%*0.85 от ФОТ
216,12
______________
СП 60%=75%*0.8 от ФОТ
123,5</t>
  </si>
  <si>
    <t>Устройство покрытий на растворе их сухой смеси с приготовлением раствора в построечных условиях из плиток гладких неглазурованных керамических для полов одноцветных
Состав работ:
1. Подготовка оснований.
2. Настилка покрытий из плиток.
3. Уход за покрытиями.
4. Очистка и промывка покрытий.
5. Приготовление раствора.
______________
НР 105%=123%*0.85 от ФОТ
9820,29
______________
СП 60%=75%*0.8 от ФОТ
5611,6</t>
  </si>
  <si>
    <t>Узел №10</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</si>
  <si>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9071,17
______________
СП 60%=75%*0.8 от ФОТ
5183,53</t>
  </si>
  <si>
    <t>Устройство стяжек на каждые 5 мм изменения толщины стяжки добавлять или исключать к расценке 11-01-011-01 (до толщ.58мм)
Состав работ:
1. Подготовка основания.
2. Укладка и разравнивание слоя раствора.
______________
НР 105%=123%*0.85 от ФОТ
1267,37
______________
СП 60%=75%*0.8 от ФОТ
724,21</t>
  </si>
  <si>
    <t>Устройство покрытий из плит керамогранитных размером: 40х40 см
Состав работ:
1. Приготовление клеевого раствора.
2. Распиловка плиток.
3. Очистка и огрунтовка поверхности.
4. Укладка керамогранитных плиток.
5. Калибровка швов.
6. Затирка швов.
7. Очистка поверхности.
______________
НР 105%=123%*0.85 от ФОТ
75959,69
______________
СП 60%=75%*0.8 от ФОТ
43405,54</t>
  </si>
  <si>
    <t>Узел №11</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</si>
  <si>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303,75
______________
СП 60%=75%*0.8 от ФОТ
173,57</t>
  </si>
  <si>
    <t>Устройство стяжек на каждые 5 мм изменения толщины стяжки добавлять или исключать к расценке 11-01-011-01 (довести до толщ.60мм)
Состав работ:
1. Подготовка основания.
2. Укладка и разравнивание слоя раствора.
______________
НР 105%=123%*0.85 от ФОТ
44,68
______________
СП 60%=75%*0.8 от ФОТ
25,53</t>
  </si>
  <si>
    <t>Устройство покрытий на растворе их сухой смеси с приготовлением раствора в построечных условиях из плиток гладких неглазурованных керамических для полов одноцветных
Состав работ:
1. Подготовка оснований.
2. Настилка покрытий из плиток.
3. Уход за покрытиями.
4. Очистка и промывка покрытий.
5. Приготовление раствора.
______________
НР 105%=123%*0.85 от ФОТ
1014,95
______________
СП 60%=75%*0.8 от ФОТ
579,97</t>
  </si>
  <si>
    <t>Узел №12</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</si>
  <si>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4840,31
______________
СП 60%=75%*0.8 от ФОТ
2765,89</t>
  </si>
  <si>
    <t>Устройство теплоизоляционного слоя из рулонных материалов (с учетом завода на стены)
Состав работ:
1. Раскатка рулонов теплоизоляции и нарезка их на полосы необходимого размера.
2. Укладка полос теплоизоляции и соединение их друг с другом липкой лентой.
______________
НР 105%=123%*0.85 от ФОТ
601,09
______________
СП 60%=75%*0.8 от ФОТ
343,48</t>
  </si>
  <si>
    <t>Устройство стяжек на каждые 5 мм изменения толщины стяжки добавлять или исключать к расценке 11-01-011-01 (довести до толщ.40мм)
Состав работ:
1. Подготовка основания.
2. Укладка и разравнивание слоя раствора.
______________
НР 105%=123%*0.85 от ФОТ
355,93
______________
СП 60%=75%*0.8 от ФОТ
203,39</t>
  </si>
  <si>
    <t>ГЭСН11-01-037-01</t>
  </si>
  <si>
    <t>Устройство покрытий: спортивное на клее "Бустилат"
Состав работ:
1. Раскатывание рулонов с разметкой и нарезкой на полотнища.
2. Наклейка полотнищ с прирезкой в стыках.
______________
НР 105%=123%*0.85 от ФОТ
6042,48
______________
СП 60%=75%*0.8 от ФОТ
3452,84</t>
  </si>
  <si>
    <t>01.6.03.04-0362</t>
  </si>
  <si>
    <t>Покрытие спортивное Gerflor Taraflex Surface</t>
  </si>
  <si>
    <t>Устройство плинтусов поливинилхлоридных на винтах самонарезающих
Состав работ:
1. Подготовка поверхности мест установки плинтусов.
2. Примерка плинтусов по месту установки с разметкой отверстий шилом.
3. Нарезка плинтусов по размеру.
4. Сверление отверстий под дюбеля.
5. Установка дюбелей в отверстия.
6. Установка плинтусов самонарезающими винтами.
7. Установка соединителей между плинтусами.
8. Установка в местах поворотов углов наружных и внутренних.
9. Установка заглушек торцевых левых и правых.
______________
НР 105%=123%*0.85 от ФОТ
978,52
______________
СП 60%=75%*0.8 от ФОТ
559,15</t>
  </si>
  <si>
    <t>Узел №13</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</si>
  <si>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1535,69
______________
СП 60%=75%*0.8 от ФОТ
877,54</t>
  </si>
  <si>
    <t>ГЭСН15-01-045-01</t>
  </si>
  <si>
    <t>Облицовка ступеней керамогранитными плитками толщиной до 15 мм
Состав работ:
1. Приготовление клеевого раствора.
2. Распиловка плиток.
3. Очистка и огрунтовка поверхности.
4. Укладка керамогранитных плиток.
5. Калибровка швов.
6. Затирка швов.
7. Очистка поверхности.
______________
НР 89%=105%*0.85 от ФОТ
13953,13
______________
СП 44%=55%*0.8 от ФОТ
6898,17</t>
  </si>
  <si>
    <t>Узел №14</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</si>
  <si>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9234,89
______________
СП 60%=75%*0.8 от ФОТ
5277,08</t>
  </si>
  <si>
    <t>Устройство покрытий из плит керамогранитных размером: 40х40 см
Состав работ:
1. Приготовление клеевого раствора.
2. Распиловка плиток.
3. Очистка и огрунтовка поверхности.
4. Укладка керамогранитных плиток.
5. Калибровка швов.
6. Затирка швов.
7. Очистка поверхности.
______________
НР 105%=123%*0.85 от ФОТ
77330,55
______________
СП 60%=75%*0.8 от ФОТ
44188,88</t>
  </si>
  <si>
    <t>Раздел 8. Полы. Блок Б</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</si>
  <si>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7667,8
______________
СП 60%=75%*0.8 от ФОТ
4381,6</t>
  </si>
  <si>
    <t>Изоляция изделиями из пенопласта на битуме холодных поверхностей покрытий и перекрытий сверху
Состав работ:
1. Подготовка изолируемой поверхности.
2. Распиловка плит.
3. Разогрев битума.
4. Покрытие изолируемой поверхности битумом.
5. Укладка теплоизоляционных материалов с подгонкой и креплением.
______________
НР 85%=100%*0.85 от ФОТ
6058,06
______________
СП 56%=70%*0.8 от ФОТ
3991,19</t>
  </si>
  <si>
    <t>Герметизация противопожарных дверей, ворот, противодымных клапанов, фланцевых соединений воздуховодов, термоуплотнительной лентой ЛТСМ-1 (краевая (демпферная) лента)
Состав работ:
1. Подготовка поверхности.
2. Нанесение ленты на обработанную поверхность.
______________
НР 89%=105%*0.85 от ФОТ
464,46
______________
СП 44%=55%*0.8 от ФОТ
229,62</t>
  </si>
  <si>
    <t>Лента уплотнительная из пенополиэтилена с односторонним клеевым слоем</t>
  </si>
  <si>
    <t>Устройство пароизоляции из полиэтиленовой пленки в один слой насухо
Состав работ:
1. Раскатка рулонов пароизоляции с нарезкой на полотнища.
2. Укладка полиэтиленовой пленки в один слой на плиты перекрытий с напуском полотен.
3. Разметка и резка профиля по месту.
______________
НР 105%=123%*0.85 от ФОТ
699,15
______________
СП 60%=75%*0.8 от ФОТ
399,52</t>
  </si>
  <si>
    <t>Устройство покрытий бетонных толщиной 30 мм (отливка)
Состав работ:
1. Подготовка оснований.
2. Устройство покрытий.
3. Уход за покрытиями.
______________
НР 105%=123%*0.85 от ФОТ
8164,84
______________
СП 60%=75%*0.8 от ФОТ
4665,62</t>
  </si>
  <si>
    <t>Устройство покрытий на каждые 5 мм изменения толщины покрытия добавлять или исключать к расценке 11-01-015-01 (довести до толщ.59мм)
Состав работ:
1. Устройство покрытий.
______________
НР 105%=123%*0.85 от ФОТ
1538,84
______________
СП 60%=75%*0.8 от ФОТ
879,34</t>
  </si>
  <si>
    <t>Устройство гетерогенного и гомогенного покрытия на клее со свариванием полотнищ в стыках
Состав работ:
1. Распаковка и раскатывание рулонов с разметкой и нарезкой на полотнища и прирезка к выступающим частям помещения.
2. Скатывание полотнищ для последующей обработки клеем.
3. Нанесение клея на основание, укладка и приклеивание полотнищ с укатыванием.
4. Прорезка паза для шнура.
5. Сваривание полотнищ в стыках (горячая сварка).
6. Продувка места шва строительным пылесосом.
7. Срезка излишков сварочного шнура.
______________
НР 105%=123%*0.85 от ФОТ
9115,54
______________
СП 60%=75%*0.8 от ФОТ
5208,88</t>
  </si>
  <si>
    <t>Устройство плинтусов поливинилхлоридных на винтах самонарезающих
Состав работ:
1. Подготовка поверхности мест установки плинтусов.
2. Примерка плинтусов по месту установки с разметкой отверстий шилом.
3. Нарезка плинтусов по размеру.
4. Сверление отверстий под дюбеля.
5. Установка дюбелей в отверстия.
6. Установка плинтусов самонарезающими винтами.
7. Установка соединителей между плинтусами.
8. Установка в местах поворотов углов наружных и внутренних.
9. Установка заглушек торцевых левых и правых.
______________
НР 105%=123%*0.85 от ФОТ
1552,81
______________
СП 60%=75%*0.8 от ФОТ
887,32</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</si>
  <si>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10608,31
______________
СП 60%=75%*0.8 от ФОТ
6061,89</t>
  </si>
  <si>
    <t>Изоляция изделиями из пенопласта на битуме холодных поверхностей покрытий и перекрытий сверху (экструдированный пенополистирол)
Состав работ:
1. Подготовка изолируемой поверхности.
2. Распиловка плит.
3. Разогрев битума.
4. Покрытие изолируемой поверхности битумом.
5. Укладка теплоизоляционных материалов с подгонкой и креплением.
______________
НР 85%=100%*0.85 от ФОТ
11973,2
______________
СП 56%=70%*0.8 от ФОТ
7888,23</t>
  </si>
  <si>
    <t>Устройство стяжек на каждые 5 мм изменения толщины стяжки добавлять или исключать к расценке 11-01-011-01 (довести до толщ.50мм)
Состав работ:
1. Подготовка основания.
2. Укладка и разравнивание слоя раствора.
______________
НР 105%=123%*0.85 от ФОТ
1170,1
______________
СП 60%=75%*0.8 от ФОТ
668,63</t>
  </si>
  <si>
    <t>Устройство покрытий: из линолеума на клее«Бустилат»
Состав работ:
1. Раскатывание рулонов с разметкой и нарезкой на полотнища.
2. Наклейка полотнищ с прирезкой в стыках.
______________
НР 105%=123%*0.85 от ФОТ
11752,53
______________
СП 60%=75%*0.8 от ФОТ
6715,73</t>
  </si>
  <si>
    <t>Устройство плинтусов поливинилхлоридных на винтах самонарезающих
Состав работ:
1. Подготовка поверхности мест установки плинтусов.
2. Примерка плинтусов по месту установки с разметкой отверстий шилом.
3. Нарезка плинтусов по размеру.
4. Сверление отверстий под дюбеля.
5. Установка дюбелей в отверстия.
6. Установка плинтусов самонарезающими винтами.
7. Установка соединителей между плинтусами.
8. Установка в местах поворотов углов наружных и внутренних.
9. Установка заглушек торцевых левых и правых.
______________
НР 105%=123%*0.85 от ФОТ
2149,08
______________
СП 60%=75%*0.8 от ФОТ
1228,04</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</si>
  <si>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14099,34
______________
СП 60%=75%*0.8 от ФОТ
8056,76</t>
  </si>
  <si>
    <t>Изоляция изделиями из пенопласта на битуме холодных поверхностей покрытий и перекрытий сверху (экструдированный пенополистирол)
Состав работ:
1. Подготовка изолируемой поверхности.
2. Распиловка плит.
3. Разогрев битума.
4. Покрытие изолируемой поверхности битумом.
5. Укладка теплоизоляционных материалов с подгонкой и креплением.
______________
НР 85%=100%*0.85 от ФОТ
11139,38
______________
СП 56%=70%*0.8 от ФОТ
7338,88</t>
  </si>
  <si>
    <t>Устройство гидроизоляции оклеечной рулонными материалами: на резино-битумной мастике, первый слой
Состав работ:
1. Подготовка основания.
2. Огрунтовка основания.
3. Устройство оклеечной изоляции.
4. Покрытие верхнего слоя изоляции мастикой.
5. Приготовление грунтовки.
______________
НР 105%=123%*0.85 от ФОТ
14553,11
______________
СП 60%=75%*0.8 от ФОТ
8316,06</t>
  </si>
  <si>
    <t>Устройство стяжек на каждые 5 мм изменения толщины стяжки добавлять или исключать к расценке 11-01-011-01 (довести до толщ.40мм)
Состав работ:
1. Подготовка основания.
2. Укладка и разравнивание слоя раствора.
______________
НР 105%=123%*0.85 от ФОТ
1036,77
______________
СП 60%=75%*0.8 от ФОТ
592,44</t>
  </si>
  <si>
    <t>Устройство покрытий на растворе их сухой смеси с приготовлением раствора в построечных условиях из плиток гладких неглазурованных керамических для полов одноцветных
Состав работ:
1. Подготовка оснований.
2. Настилка покрытий из плиток.
3. Уход за покрытиями.
4. Очистка и промывка покрытий.
5. Приготовление раствора.
______________
НР 105%=123%*0.85 от ФОТ
47110,28
______________
СП 60%=75%*0.8 от ФОТ
26920,16</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</si>
  <si>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7644,63
______________
СП 60%=75%*0.8 от ФОТ
4368,36</t>
  </si>
  <si>
    <t>Изоляция изделиями из пенопласта на битуме холодных поверхностей покрытий и перекрытий сверху (экструдированный пенополистирол)
Состав работ:
1. Подготовка изолируемой поверхности.
2. Распиловка плит.
3. Разогрев битума.
4. Покрытие изолируемой поверхности битумом.
5. Укладка теплоизоляционных материалов с подгонкой и креплением.
______________
НР 85%=100%*0.85 от ФОТ
8628,21
______________
СП 56%=70%*0.8 от ФОТ
5684,46</t>
  </si>
  <si>
    <t>Устройство стяжек на каждые 5 мм изменения толщины стяжки добавлять или исключать к расценке 11-01-011-01 (до толщ.45мм)
Состав работ:
1. Подготовка основания.
2. Укладка и разравнивание слоя раствора.
______________
НР 105%=123%*0.85 от ФОТ
702,68
______________
СП 60%=75%*0.8 от ФОТ
401,53</t>
  </si>
  <si>
    <t>Устройство покрытий из плит керамогранитных размером: 40х40 см
Состав работ:
1. Приготовление клеевого раствора.
2. Распиловка плиток.
3. Очистка и огрунтовка поверхности.
4. Укладка керамогранитных плиток.
5. Калибровка швов.
6. Затирка швов.
7. Очистка поверхности.
______________
НР 105%=123%*0.85 от ФОТ
64014,15
______________
СП 60%=75%*0.8 от ФОТ
36579,52</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</si>
  <si>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1426,55
______________
СП 60%=75%*0.8 от ФОТ
815,17</t>
  </si>
  <si>
    <t>Изоляция изделиями из пенопласта на битуме холодных поверхностей покрытий и перекрытий сверху (экструдированный пенополистирол)
Состав работ:
1. Подготовка изолируемой поверхности.
2. Распиловка плит.
3. Разогрев битума.
4. Покрытие изолируемой поверхности битумом.
5. Укладка теплоизоляционных материалов с подгонкой и креплением.
______________
НР 85%=100%*0.85 от ФОТ
1610,09
______________
СП 56%=70%*0.8 от ФОТ
1060,76</t>
  </si>
  <si>
    <t>Устройство стяжек на каждые 5 мм изменения толщины стяжки добавлять или исключать к расценке 11-01-011-01 (довести до толщ.47мм)
Состав работ:
1. Подготовка основания.
2. Укладка и разравнивание слоя раствора.
______________
НР 105%=123%*0.85 от ФОТ
141,61
______________
СП 60%=75%*0.8 от ФОТ
80,92</t>
  </si>
  <si>
    <t>Устройство покрытий на растворе их сухой смеси с приготовлением раствора в построечных условиях из плиток гладких неглазурованных керамических для полов одноцветных
Состав работ:
1. Подготовка оснований.
2. Настилка покрытий из плиток.
3. Уход за покрытиями.
4. Очистка и промывка покрытий.
5. Приготовление раствора.
______________
НР 105%=123%*0.85 от ФОТ
4766,54
______________
СП 60%=75%*0.8 от ФОТ
2723,74</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</si>
  <si>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19574,21
______________
СП 60%=75%*0.8 от ФОТ
11185,26</t>
  </si>
  <si>
    <t>Устройство теплоизоляционного слоя из рулонных материалов (с учетом завода на стены)
Состав работ:
1. Раскатка рулонов теплоизоляции и нарезка их на полосы необходимого размера.
2. Укладка полос теплоизоляции и соединение их друг с другом липкой лентой.
______________
НР 105%=123%*0.85 от ФОТ
2400,12
______________
СП 60%=75%*0.8 от ФОТ
1371,5</t>
  </si>
  <si>
    <t>Устройство стяжек на каждые 5 мм изменения толщины стяжки добавлять или исключать к расценке 11-01-011-01 (довести до толщ.40мм)
Состав работ:
1. Подготовка основания.
2. Укладка и разравнивание слоя раствора.
______________
НР 105%=123%*0.85 от ФОТ
1439,36
______________
СП 60%=75%*0.8 от ФОТ
822,49</t>
  </si>
  <si>
    <t>Устройство покрытий: из линолеума на клее«Бустилат»
Состав работ:
1. Раскатывание рулонов с разметкой и нарезкой на полотнища.
2. Наклейка полотнищ с прирезкой в стыках.
______________
НР 105%=123%*0.85 от ФОТ
21685,51
______________
СП 60%=75%*0.8 от ФОТ
12391,72</t>
  </si>
  <si>
    <t>Устройство плинтусов поливинилхлоридных на винтах самонарезающих
Состав работ:
1. Подготовка поверхности мест установки плинтусов.
2. Примерка плинтусов по месту установки с разметкой отверстий шилом.
3. Нарезка плинтусов по размеру.
4. Сверление отверстий под дюбеля.
5. Установка дюбелей в отверстия.
6. Установка плинтусов самонарезающими винтами.
7. Установка соединителей между плинтусами.
8. Установка в местах поворотов углов наружных и внутренних.
9. Установка заглушек торцевых левых и правых.
______________
НР 105%=123%*0.85 от ФОТ
3966,18
______________
СП 60%=75%*0.8 от ФОТ
2266,39</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</si>
  <si>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195,58
______________
СП 60%=75%*0.8 от ФОТ
111,76</t>
  </si>
  <si>
    <t>Устройство гидроизоляции оклеечной рулонными материалами: на резино-битумной мастике, первый слой
Состав работ:
1. Подготовка основания.
2. Огрунтовка основания.
3. Устройство оклеечной изоляции.
4. Покрытие верхнего слоя изоляции мастикой.
5. Приготовление грунтовки.
______________
НР 105%=123%*0.85 от ФОТ
201,87
______________
СП 60%=75%*0.8 от ФОТ
115,36</t>
  </si>
  <si>
    <t>Устройство стяжек на каждые 5 мм изменения толщины стяжки добавлять или исключать к расценке 11-01-011-01 (довести до толщ.40мм)
Состав работ:
1. Подготовка основания.
2. Укладка и разравнивание слоя раствора.
______________
НР 105%=123%*0.85 от ФОТ
14,39
______________
СП 60%=75%*0.8 от ФОТ
8,22</t>
  </si>
  <si>
    <t>Устройство покрытий на растворе их сухой смеси с приготовлением раствора в построечных условиях из плиток гладких неглазурованных керамических для полов одноцветных
Состав работ:
1. Подготовка оснований.
2. Настилка покрытий из плиток.
3. Уход за покрытиями.
4. Очистка и промывка покрытий.
5. Приготовление раствора.
______________
НР 105%=123%*0.85 от ФОТ
653,51
______________
СП 60%=75%*0.8 от ФОТ
373,43</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</si>
  <si>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4565,53
______________
СП 60%=75%*0.8 от ФОТ
2608,87</t>
  </si>
  <si>
    <t>Устройство стяжек на каждые 5 мм изменения толщины стяжки добавлять или исключать к расценке 11-01-011-01 (до толщ.58мм)
Состав работ:
1. Подготовка основания.
2. Укладка и разравнивание слоя раствора.
______________
НР 105%=123%*0.85 от ФОТ
637,88
______________
СП 60%=75%*0.8 от ФОТ
364,5</t>
  </si>
  <si>
    <t>Устройство покрытий из плит керамогранитных размером: 40х40 см
Состав работ:
1. Приготовление клеевого раствора.
2. Распиловка плиток.
3. Очистка и огрунтовка поверхности.
4. Укладка керамогранитных плиток.
5. Калибровка швов.
6. Затирка швов.
7. Очистка поверхности.
______________
НР 105%=123%*0.85 от ФОТ
38230,56
______________
СП 60%=75%*0.8 от ФОТ
21846,04</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</si>
  <si>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403,24
______________
СП 60%=75%*0.8 от ФОТ
230,42</t>
  </si>
  <si>
    <t>Устройство стяжек на каждые 5 мм изменения толщины стяжки добавлять или исключать к расценке 11-01-011-01 (довести до толщ.60мм)
Состав работ:
1. Подготовка основания.
2. Укладка и разравнивание слоя раствора.
______________
НР 105%=123%*0.85 от ФОТ
58,31
______________
СП 60%=75%*0.8 от ФОТ
33,32</t>
  </si>
  <si>
    <t>Устройство покрытий на растворе их сухой смеси с приготовлением раствора в построечных условиях из плиток гладких неглазурованных керамических для полов одноцветных
Состав работ:
1. Подготовка оснований.
2. Настилка покрытий из плиток.
3. Уход за покрытиями.
4. Очистка и промывка покрытий.
5. Приготовление раствора.
______________
НР 105%=123%*0.85 от ФОТ
1324,75
______________
СП 60%=75%*0.8 от ФОТ
757</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</si>
  <si>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4745,66
______________
СП 60%=75%*0.8 от ФОТ
2711,81</t>
  </si>
  <si>
    <t>Устройство теплоизоляционного слоя из рулонных материалов (с учетом завода на стены)
Состав работ:
1. Раскатка рулонов теплоизоляции и нарезка их на полосы необходимого размера.
2. Укладка полос теплоизоляции и соединение их друг с другом липкой лентой.
______________
НР 105%=123%*0.85 от ФОТ
590,52
______________
СП 60%=75%*0.8 от ФОТ
337,44</t>
  </si>
  <si>
    <t>Устройство стяжек на каждые 5 мм изменения толщины стяжки добавлять или исключать к расценке 11-01-011-01 (довести до толщ.40мм)
Состав работ:
1. Подготовка основания.
2. Укладка и разравнивание слоя раствора.
______________
НР 105%=123%*0.85 от ФОТ
348,97
______________
СП 60%=75%*0.8 от ФОТ
199,41</t>
  </si>
  <si>
    <t>Устройство покрытий: спортивное на клее "Бустилат"
Состав работ:
1. Раскатывание рулонов с разметкой и нарезкой на полотнища.
2. Наклейка полотнищ с прирезкой в стыках.
______________
НР 105%=123%*0.85 от ФОТ
5924,31
______________
СП 60%=75%*0.8 от ФОТ
3385,32</t>
  </si>
  <si>
    <t>Устройство плинтусов поливинилхлоридных на винтах самонарезающих
Состав работ:
1. Подготовка поверхности мест установки плинтусов.
2. Примерка плинтусов по месту установки с разметкой отверстий шилом.
3. Нарезка плинтусов по размеру.
4. Сверление отверстий под дюбеля.
5. Установка дюбелей в отверстия.
6. Установка плинтусов самонарезающими винтами.
7. Установка соединителей между плинтусами.
8. Установка в местах поворотов углов наружных и внутренних.
9. Установка заглушек торцевых левых и правых.
______________
НР 105%=123%*0.85 от ФОТ
960,23
______________
СП 60%=75%*0.8 от ФОТ
548,7</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</si>
  <si>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9790,24
______________
СП 60%=75%*0.8 от ФОТ
5594,42</t>
  </si>
  <si>
    <t>Устройство покрытий из плит керамогранитных размером: 40х40 см
Состав работ:
1. Приготовление клеевого раствора.
2. Распиловка плиток.
3. Очистка и огрунтовка поверхности.
4. Укладка керамогранитных плиток.
5. Калибровка швов.
6. Затирка швов.
7. Очистка поверхности.
______________
НР 105%=123%*0.85 от ФОТ
81980,98
______________
СП 60%=75%*0.8 от ФОТ
46846,27</t>
  </si>
  <si>
    <t>Узел №15</t>
  </si>
  <si>
    <t>ГЭСН11-01-008-03</t>
  </si>
  <si>
    <t>Устройство тепло- и звукоизоляции засыпной: керамзитовой
Состав работ:
1. Подготовка оснований.
2. Устройство засыпок с разравниванием.
______________
НР 105%=123%*0.85 от ФОТ
513,6
______________
СП 60%=75%*0.8 от ФОТ
293,48</t>
  </si>
  <si>
    <t>02.2.01.03-0020</t>
  </si>
  <si>
    <t>Гравий керамзитовый, фракция: 10-20 мм, марка 800</t>
  </si>
  <si>
    <t>Устройство стяжек цементных толщиной 20 мм (стабилизация цементным раствором)
Состав работ:
1. Подготовка основания.
2. Укладка и разравнивание слоя раствора.
3. Уход за стяжкой.
______________
НР 105%=123%*0.85 от ФОТ
413,87
______________
СП 60%=75%*0.8 от ФОТ
236,5</t>
  </si>
  <si>
    <t>Устройство стяжек цементных толщиной 20 мм
Состав работ:
1. Подготовка основания.
2. Укладка и разравнивание слоя раствора.
3. Уход за стяжкой.
______________
НР 105%=123%*0.85 от ФОТ
413,87
______________
СП 60%=75%*0.8 от ФОТ
236,5</t>
  </si>
  <si>
    <t>Устройство стяжек на каждые 5 мм изменения толщины стяжки добавлять или исключать к расценке 11-01-011-01 (довести до толщ.40мм)
Состав работ:
1. Подготовка основания.
2. Укладка и разравнивание слоя раствора.
______________
НР 105%=123%*0.85 от ФОТ
30,43
______________
СП 60%=75%*0.8 от ФОТ
17,39</t>
  </si>
  <si>
    <t>Устройство покрытий на растворе их сухой смеси с приготовлением раствора в построечных условиях из плиток гладких неглазурованных керамических для полов одноцветных
Состав работ:
1. Подготовка оснований.
2. Настилка покрытий из плиток.
3. Уход за покрытиями.
4. Очистка и промывка покрытий.
5. Приготовление раствора.
______________
НР 105%=123%*0.85 от ФОТ
1382,85
______________
СП 60%=75%*0.8 от ФОТ
790,2</t>
  </si>
  <si>
    <t>Раздел 9. Наружняя отделка фасада</t>
  </si>
  <si>
    <t>ГЭСН15-01-064-01</t>
  </si>
  <si>
    <t>Облицовка стен фасадов зданий искусственными плитами керамогранит на металлическом каркасе
Состав работ:
1. Разметка поверхности.
2. Крепление к стене направляющих и закрепление стоечных профилей.
3. Сверление отверстий для дополнительного крепления плит анкерами.
4. Установка анкеров.
5. Установка облицовочных плит.
6. Установка планок между вертикальными и горизонтальными стыками плит.
______________
НР 89%=105%*0.85 от ФОТ
462697,99
______________
СП 44%=55%*0.8 от ФОТ
228749,57</t>
  </si>
  <si>
    <t>06.2.05.03-0069</t>
  </si>
  <si>
    <t>Плитки керамогранитные размером: 600х600х10 мм, бело-серые</t>
  </si>
  <si>
    <t>01.7.15.02-0054</t>
  </si>
  <si>
    <t>Болты анкерные оцинкованные</t>
  </si>
  <si>
    <t>ГЭСН15-01-070-01</t>
  </si>
  <si>
    <t>Облицовка: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
Состав работ:
1. Установка верхних деталей окантовок с подгонкой по месту монтажа, крепление шурупами-саморезами.
2. Установка боковых деталей с креплением.
3. Установка водоотлива оконного с креплением шурупами-саморезами.
______________
НР 89%=105%*0.85 от ФОТ
65179,02
______________
СП 44%=55%*0.8 от ФОТ
32223,33</t>
  </si>
  <si>
    <t>ГЭСН08-07-001-02</t>
  </si>
  <si>
    <t>Установка и разборка наружных инвентарных лесов высотой до 16 м: трубчатых для прочих отделочных работ
Состав работ:
1. Планировка места установки наружных лесов.
2. Сборка и установка инвентарных лесов с устройством настилов, ограждений, стремянок и ходовых лестниц.
3. Разборка лесов.
4. Восстановительный ремонт деталей лесов при каждом обороте их.
5. Завозка готовых элементов лесов с приобъектного склада на объект и отвозка их с объекта на приобъектный склад.
______________
НР 104%=122%*0.85 от ФОТ
102992,79
______________
СП 64%=80%*0.8 от ФОТ
63380,18</t>
  </si>
  <si>
    <t>01.7.16.02-0001</t>
  </si>
  <si>
    <t>Детали деревянные лесов из пиломатериалов хвойных пород</t>
  </si>
  <si>
    <t>01.7.16.02-0002</t>
  </si>
  <si>
    <t>Детали лесов стальные, укомплектованные пробками, крючками и хомутами, окрашенные</t>
  </si>
  <si>
    <t>Раздел 10. Ограждения</t>
  </si>
  <si>
    <t>Ограждение наружных лестниц и пандусов</t>
  </si>
  <si>
    <t>ГЭСН07-05-016-04</t>
  </si>
  <si>
    <t>Устройство металлических ограждений: без поручней
Состав работ:
1. Установка ограждений.
______________
НР 132%=155%*0.85 от ФОТ
14458,57
______________
СП 80%=100%*0.8 от ФОТ
8762,77</t>
  </si>
  <si>
    <t>Ограждение лестницы (Сталь с полимерным покрытием (RAL9006), Высота 900 мм., Поручень (42 мм), Релинг (16 мм) 3 шт.,Стойка (42 мм), Фланцевое крепление, Крепление основание стойки Хим. анкер) Ц=4900/1,18*1,02</t>
  </si>
  <si>
    <t>п.м</t>
  </si>
  <si>
    <t>Ограждение внутренних лестниц</t>
  </si>
  <si>
    <t>Устройство металлических ограждений: без поручней
Состав работ:
1. Установка ограждений.
______________
НР 132%=155%*0.85 от ФОТ
6207,47
______________
СП 80%=100%*0.8 от ФОТ
3762,1</t>
  </si>
  <si>
    <t>Ограждение лестницы (Сталь с полимерным покрытием RAL9006 ), Высота 1200, Поручень (42мм), заполнение:  Перфорированный лист, Стойка (42 мм), Фланцевое крепление Крепление основание стойки Хим. анкер) Ц=10850/1,18*1,02</t>
  </si>
  <si>
    <t>п.м.</t>
  </si>
  <si>
    <t>ГЭСН09-03-050-01</t>
  </si>
  <si>
    <t>Монтаж стальных плинтусов из гнутого профиля (пристенный поручень)
Состав работ:
1. Установка и крепление плинтусов.
______________
НР 77%=90%*0.85 от ФОТ
415,41
______________
СП 68%=85%*0.8 от ФОТ
366,85</t>
  </si>
  <si>
    <t>Поручень пристеный двойной (500, 900) (Сталь с полимерным покрытием RAL 9006) Ц=2600/1,18*1,02</t>
  </si>
  <si>
    <t>Раздел 11. Перегородки сантехнических кабин</t>
  </si>
  <si>
    <t>ГЭСН10-04-014-03</t>
  </si>
  <si>
    <t>Устройство сантехнических перегородок: (детские туалетные кабины) на каркасе из алюминиевого профиля
Состав работ:
1. Разметка и сверление отверстий в панелях, профилях и стенах.
2. Сборка и установка алюминиевого каркаса сантехнических перегородок.
3. Установка боковых и фасадных панелей сантехнических перегородок.
4. Установка фурнитуры.
5. Навешивание дверей сантехнических перегородок.
______________
НР 100%=118%*0.85 от ФОТ
7970,33
______________
СП 50%=63%*0.8 от ФОТ
3985,17</t>
  </si>
  <si>
    <t>Раздел 12. Защитные экраны радиаторов отполения</t>
  </si>
  <si>
    <t>ГЭСН10-01-010-01</t>
  </si>
  <si>
    <t>Установка элементов каркаса: из брусьев (стойки 30х30мм, обрамляющая рейка верхней панели 20х25мм)
Состав работ:
1. Заготовка и установка элементов каркаса с антисептированием нижних обвязок.
2. Постановка креплений.
______________
НР 100%=118%*0.85 от ФОТ
2008,6
______________
СП 50%=63%*0.8 от ФОТ
1004,3</t>
  </si>
  <si>
    <t>ГЭСН10-01-082-01</t>
  </si>
  <si>
    <t>Укладка по фермам прогонов: из досок (рейка 25х12мм)
Состав работ:
1. Укладка элементов покрытия с прирезкой, пригонкой и креплением.
2. Антисептирование верхних кромок прогонов.
______________
НР 100%=118%*0.85 от ФОТ
1944,35
______________
СП 50%=63%*0.8 от ФОТ
972,18</t>
  </si>
  <si>
    <t>ГЭСН10-05-013-01</t>
  </si>
  <si>
    <t>Облицовка откосов по готовому металлическому одинарному каркасу гипсокартонными листами (боковая панель)
Состав работ:
1. Подача и перемещение материалов.
2. Обшивка откосов гипсокартонными листами.
3. Заделка швов.
______________
НР 100%=118%*0.85 от ФОТ
3338,71
______________
СП 50%=63%*0.8 от ФОТ
1669,36</t>
  </si>
  <si>
    <t>01.6.01.02-0009</t>
  </si>
  <si>
    <t>Листы гипсокартонные: ГКЛО 12,5 мм</t>
  </si>
  <si>
    <t>ГЭСН10-01-060-01</t>
  </si>
  <si>
    <t>Установка и крепление наличников (угловые нащельники 35х35мм)
Состав работ:
1. Установка и крепление наличников.
______________
НР 100%=118%*0.85 от ФОТ
1565,42
______________
СП 50%=63%*0.8 от ФОТ
782,71</t>
  </si>
  <si>
    <t>11.1.01.14-0011</t>
  </si>
  <si>
    <t>Плинтуса из древесины тип: (угловые нащельники 35х35мм)</t>
  </si>
  <si>
    <t>ГЭСН15-04-025-01</t>
  </si>
  <si>
    <t>Улучшенная окраска масляными составами по дереву: стен (защитных экранов)
Состав работ:
1. Очистка
2. Вырезка сучков и засмолов с расшивкой щелей
3. Проолифка
4. Частичная подмазка с проолифкой подмазанных мест
5. Шлифовка подмазанных мест
6. Первая сплошная шпатлевка
7. Шлифовка
8. Огрунтовка
9. Флейцевание
10. Шлифовка
11. Первая окраска
12. Флейцевание
13. Шлифовка
14. Вторая окраска
15. Флейцевание или торцевание
______________
НР 89%=105%*0.85 от ФОТ
13430,92
______________
СП 44%=55%*0.8 от ФОТ
6640</t>
  </si>
  <si>
    <t>14.4.02.04-0181</t>
  </si>
  <si>
    <t>Краски масляные и алкидные цветные, готовые к применению для наружных работ МА-15: бежевая</t>
  </si>
  <si>
    <t>Защитный короб для труб</t>
  </si>
  <si>
    <t>ГЭСН10-05-012-01</t>
  </si>
  <si>
    <t>Облицовка стен глухих (без проемов) по металлическому одинарному каркасу гипсокартонными листами
Состав работ:
1. Подача и перемещение материалов.
2. Устройство металлического одинарного каркаса.
3. Обшивка каркаса гипсокартонными листами.
4. Заделка швов.
______________
НР 100%=118%*0.85 от ФОТ
14251,46
______________
СП 50%=63%*0.8 от ФОТ
7125,73</t>
  </si>
  <si>
    <t>Итого прямые затраты по смете в текущих ценах</t>
  </si>
  <si>
    <t>Накладные расходы</t>
  </si>
  <si>
    <t xml:space="preserve">  В том числе, справочно:</t>
  </si>
  <si>
    <t xml:space="preserve">   77% =  90%*0.85 ФОТ (от 120861,59) (Поз. 66-67, 73-88, 90-94, 99-100, 102-106, 118-119, 440-441)</t>
  </si>
  <si>
    <t xml:space="preserve">   85% =  100%*0.85 ФОТ (от 97929,4) (Поз. 123-124, 143, 161-162, 179, 197, 208, 285-286, 305, 323-324, 337, 348)</t>
  </si>
  <si>
    <t xml:space="preserve">   89% =  105%*0.85 ФОТ (от 1904919,97) (Поз. 1-24, 27-56, 97-98, 101, 107, 109, 116-117, 120, 125-126, 275, 287-288, 429-432, 449-450, 175-176)</t>
  </si>
  <si>
    <t xml:space="preserve">   100% =  118%*0.85 ФОТ (от 160088,47) (Поз. 57-65, 68-72, 89, 95-96, 110-115, 442-448, 451-452)</t>
  </si>
  <si>
    <t xml:space="preserve">   104% =  122%*0.85 ФОТ (от 99031,53) (Поз. 433-435)</t>
  </si>
  <si>
    <t xml:space="preserve">   105% =  123%*0.85 ФОТ (от 994993,54) (Поз. 25-26, 121-122, 127-142, 144-160, 163-174, 177-178, 180-196, 198-207, 209-274, 276-284, 289-304, 306-322, 325-336, 338-347, 349-428)</t>
  </si>
  <si>
    <t xml:space="preserve">   109% =  128%*0.85 ФОТ (от 45420,6) (Поз. 108)</t>
  </si>
  <si>
    <t xml:space="preserve">   132% =  155%*0.85 ФОТ (от 15656,09) (Поз. 436-439)</t>
  </si>
  <si>
    <t>Сметная прибыль</t>
  </si>
  <si>
    <t xml:space="preserve">   44% =  55%*0.8 ФОТ (от 1904738,91) (Поз. 1-24, 27-56, 97-98, 101, 107, 109, 116-117, 120, 125-126, 275, 287-288, 429-432, 449-450)</t>
  </si>
  <si>
    <t xml:space="preserve">   50% =  63%*0.8 ФОТ (от 160088,47) (Поз. 57-65, 68-72, 89, 95-96, 110-115, 442-448, 451-452)</t>
  </si>
  <si>
    <t xml:space="preserve">   52% =  65%*0.8 ФОТ (от 181,06) (Поз. 175-176)</t>
  </si>
  <si>
    <t xml:space="preserve">   56% =  70%*0.8 ФОТ (от 97929,4) (Поз. 123-124, 143, 161-162, 179, 197, 208, 285-286, 305, 323-324, 337, 348)</t>
  </si>
  <si>
    <t xml:space="preserve">   60% =  75%*0.8 ФОТ (от 994993,54) (Поз. 25-26, 121-122, 127-142, 144-160, 163-174, 177-178, 180-196, 198-207, 209-274, 276-284, 289-304, 306-322, 325-336, 338-347, 349-428)</t>
  </si>
  <si>
    <t xml:space="preserve">   64% =  80%*0.8 ФОТ (от 99031,53) (Поз. 433-435)</t>
  </si>
  <si>
    <t xml:space="preserve">   66% =  83%*0.8 ФОТ (от 45420,6) (Поз. 108)</t>
  </si>
  <si>
    <t xml:space="preserve">   68% =  85%*0.8 ФОТ (от 120861,59) (Поз. 66-67, 73-88, 90-94, 99-100, 102-106, 118-119, 440-441)</t>
  </si>
  <si>
    <t xml:space="preserve">   80% =  100%*0.8 ФОТ (от 15656,09) (Поз. 436-439)</t>
  </si>
  <si>
    <t>Итоги по смете:</t>
  </si>
  <si>
    <t xml:space="preserve">  Отделочные работы (МДС81-33.2004 Прил.4 п.15; Письмо №АП-5536/06 Прил.1 п.15; Письмо от 27.11.12 №2536-ИП/12/ГС)</t>
  </si>
  <si>
    <t xml:space="preserve">  Полы (МДС81-33.2004 Прил.4 п.11; Письмо №АП-5536/06 Прил.1 п.11; Письмо от 27.11.12 №2536-ИП/12/ГС)</t>
  </si>
  <si>
    <t xml:space="preserve">  Деревянные конструкции (МДС81-33.2004 Прил.4 п.10; Письмо №АП-5536/06 Прил.1 п.10; Письмо от 27.11.12 №2536-ИП/12/ГС)</t>
  </si>
  <si>
    <t xml:space="preserve">  Строительные металлические конструкции (МДС81-33.2004 Прил.4 п.9; Письмо №АП-5536/06 Прил.1 п.9; Письмо от 27.11.12 №2536-ИП/12/ГС)</t>
  </si>
  <si>
    <t xml:space="preserve">  Сантехнические работы - внутренние (трубопроводы, водопровод, канализация, отопление, газоснабжение, вентиляция и кондиционирование воздуха) (МДС81-33.2004 Прил.4 п.16; Письмо №АП-5536/06 Прил.1 п.16; Письмо от 27.11.12 №2536-ИП/12/ГС)</t>
  </si>
  <si>
    <t xml:space="preserve">  Теплоизоляционные работы (МДС81-33.2004 Прил.4 п.20; Письмо №АП-5536/06 Прил.1 п.20; Письмо от 27.11.12 №2536-ИП/12/ГС)</t>
  </si>
  <si>
    <t xml:space="preserve">  Бетонные и железобетонные монолитные конструкции в промышленном строительстве (МДС81-33.2004 Прил.4 п.6.1 и Письмо №ВБ-338/02 от 08.02.08; Письмо №АП-5536/06 Прил.1 п.6.1; Письмо от 27.11.12 №2536-ИП/12/ГС)</t>
  </si>
  <si>
    <t xml:space="preserve">  Конструкции из кирпича и блоков (МДС81-33.2004 Прил.4 п.8; Письмо №АП-5536/06 Прил.1 п.8; Письмо от 27.11.12 №2536-ИП/12/ГС)</t>
  </si>
  <si>
    <t xml:space="preserve">  Бетонные и железобетонные сборные конструкции в жилищно-гражданском строительстве (МДС81-33.2004 Прил.4 п.7.2; Письмо №АП-5536/06 Прил.1 п.7.2; Письмо от 27.11.12 №2536-ИП/12/ГС)</t>
  </si>
  <si>
    <t xml:space="preserve">  Итого</t>
  </si>
  <si>
    <t xml:space="preserve">    В том числе:</t>
  </si>
  <si>
    <t xml:space="preserve">      Материалы</t>
  </si>
  <si>
    <t xml:space="preserve">      Машины и механизмы</t>
  </si>
  <si>
    <t xml:space="preserve">      ФОТ</t>
  </si>
  <si>
    <t xml:space="preserve">      Накладные расходы</t>
  </si>
  <si>
    <t xml:space="preserve">      Сметная прибыль</t>
  </si>
  <si>
    <t xml:space="preserve">  НДС 20%</t>
  </si>
  <si>
    <t xml:space="preserve">  ВСЕГО по смете</t>
  </si>
  <si>
    <t>Наименование работ и затрат: Строительство десткого сада</t>
  </si>
  <si>
    <t xml:space="preserve">СОСТАВИЛ:               </t>
  </si>
  <si>
    <t>Прайс "Мега М"</t>
  </si>
  <si>
    <t>Наименование стройки: Детский сад на 350 мест</t>
  </si>
  <si>
    <t>Устройство стяжек цементных толщиной 20 мм
Состав работ:
1. Подготовка основания.
2. Укладка и разравнивание слоя раствора.
3. Уход за стяжкой.</t>
  </si>
  <si>
    <t>Устройство стяжек на каждые 5 мм изменения толщины стяжки добавлять или исключать к расценке 11-01-011-01 (до толщ.45мм)
Состав работ:
1. Подготовка основания.
2. Укладка и разравнивание слоя раствора.</t>
  </si>
  <si>
    <t>Устройство покрытий из плит керамогранитных размером: 40х40 см
Состав работ:
1. Приготовление клеевого раствора.
2. Распиловка плиток.
3. Очистка и огрунтовка поверхности.
4. Укладка керамогранитных плиток.
5. Калибровка швов.
6. Затирка швов.
7. Очистка поверхности.</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</si>
</sst>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0"/>
      <name val="Arial Cyr"/>
      <family val="0"/>
    </font>
    <font>
      <sz val="11"/>
      <color indexed="8"/>
      <name val="Calibri"/>
      <family val="2"/>
    </font>
    <font>
      <sz val="10"/>
      <name val="Times New Roman"/>
      <family val="1"/>
    </font>
    <font>
      <b/>
      <sz val="8"/>
      <name val="Tahoma"/>
      <family val="2"/>
    </font>
    <font>
      <sz val="8"/>
      <name val="Arial"/>
      <family val="2"/>
    </font>
    <font>
      <sz val="10"/>
      <name val="Arial"/>
      <family val="2"/>
    </font>
    <font>
      <sz val="10"/>
      <name val="Verdana"/>
      <family val="2"/>
    </font>
    <font>
      <sz val="8"/>
      <name val="Tahoma"/>
      <family val="2"/>
    </font>
    <font>
      <b/>
      <sz val="9"/>
      <name val="Tahoma"/>
      <family val="2"/>
    </font>
    <font>
      <b/>
      <sz val="12"/>
      <name val="Times New Roman"/>
      <family val="1"/>
    </font>
    <font>
      <i/>
      <sz val="8"/>
      <name val="Times New Roman"/>
      <family val="1"/>
    </font>
    <font>
      <sz val="8"/>
      <name val="Times New Roman"/>
      <family val="1"/>
    </font>
    <font>
      <b/>
      <sz val="12"/>
      <name val="Arial"/>
      <family val="2"/>
    </font>
    <font>
      <i/>
      <sz val="8"/>
      <name val="Arial"/>
      <family val="2"/>
    </font>
    <font>
      <b/>
      <sz val="10"/>
      <name val="Arial"/>
      <family val="2"/>
    </font>
    <font>
      <i/>
      <sz val="10"/>
      <name val="Arial"/>
      <family val="2"/>
    </font>
    <font>
      <b/>
      <sz val="10"/>
      <name val="Arial Cyr"/>
      <family val="0"/>
    </font>
    <font>
      <b/>
      <sz val="11"/>
      <name val="Arial"/>
      <family val="2"/>
    </font>
    <font>
      <b/>
      <sz val="11"/>
      <name val="Arial Cyr"/>
      <family val="0"/>
    </font>
    <font>
      <i/>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b/>
      <sz val="13"/>
      <color indexed="5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14">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right/>
      <top style="thin"/>
      <bottom style="thin"/>
    </border>
    <border>
      <left/>
      <right/>
      <top style="thin"/>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2" fillId="0" borderId="1">
      <alignment horizontal="center"/>
      <protection/>
    </xf>
    <xf numFmtId="0" fontId="0" fillId="0" borderId="0">
      <alignment vertical="top"/>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2" applyNumberFormat="0" applyAlignment="0" applyProtection="0"/>
    <xf numFmtId="0" fontId="2" fillId="0" borderId="1">
      <alignment horizontal="center"/>
      <protection/>
    </xf>
    <xf numFmtId="0" fontId="2" fillId="0" borderId="0">
      <alignment vertical="top"/>
      <protection/>
    </xf>
    <xf numFmtId="0" fontId="40" fillId="27" borderId="3" applyNumberFormat="0" applyAlignment="0" applyProtection="0"/>
    <xf numFmtId="0" fontId="41" fillId="2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0" fillId="0" borderId="0">
      <alignment/>
      <protection/>
    </xf>
    <xf numFmtId="0" fontId="44" fillId="0" borderId="6" applyNumberFormat="0" applyFill="0" applyAlignment="0" applyProtection="0"/>
    <xf numFmtId="0" fontId="2" fillId="0" borderId="0">
      <alignment horizontal="right" vertical="top" wrapText="1"/>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45" fillId="28" borderId="7" applyNumberFormat="0" applyAlignment="0" applyProtection="0"/>
    <xf numFmtId="0" fontId="2" fillId="0" borderId="1">
      <alignment horizontal="center" wrapText="1"/>
      <protection/>
    </xf>
    <xf numFmtId="0" fontId="0" fillId="0" borderId="0">
      <alignment vertical="top"/>
      <protection/>
    </xf>
    <xf numFmtId="0" fontId="6" fillId="0" borderId="1">
      <alignment horizontal="center" vertical="top"/>
      <protection/>
    </xf>
    <xf numFmtId="0" fontId="46" fillId="0" borderId="0" applyNumberFormat="0" applyFill="0" applyBorder="0" applyAlignment="0" applyProtection="0"/>
    <xf numFmtId="0" fontId="47" fillId="29" borderId="0" applyNumberFormat="0" applyBorder="0" applyAlignment="0" applyProtection="0"/>
    <xf numFmtId="0" fontId="6" fillId="0" borderId="1">
      <alignment horizontal="center" vertical="center"/>
      <protection/>
    </xf>
    <xf numFmtId="0" fontId="2" fillId="0" borderId="0">
      <alignment/>
      <protection/>
    </xf>
    <xf numFmtId="0" fontId="2" fillId="0" borderId="1">
      <alignment horizontal="center" wrapText="1"/>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2" fillId="0" borderId="1">
      <alignment horizontal="center"/>
      <protection/>
    </xf>
    <xf numFmtId="0" fontId="2" fillId="0" borderId="1">
      <alignment horizontal="center" wrapText="1"/>
      <protection/>
    </xf>
    <xf numFmtId="0" fontId="0" fillId="0" borderId="0">
      <alignment/>
      <protection/>
    </xf>
    <xf numFmtId="0" fontId="50" fillId="0" borderId="9" applyNumberFormat="0" applyFill="0" applyAlignment="0" applyProtection="0"/>
    <xf numFmtId="0" fontId="51" fillId="0" borderId="0" applyNumberFormat="0" applyFill="0" applyBorder="0" applyAlignment="0" applyProtection="0"/>
    <xf numFmtId="0" fontId="2" fillId="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0" fontId="2" fillId="0" borderId="0">
      <alignment horizontal="left" vertical="top"/>
      <protection/>
    </xf>
    <xf numFmtId="0" fontId="52" fillId="32" borderId="0" applyNumberFormat="0" applyBorder="0" applyAlignment="0" applyProtection="0"/>
    <xf numFmtId="0" fontId="2" fillId="0" borderId="0">
      <alignment/>
      <protection/>
    </xf>
  </cellStyleXfs>
  <cellXfs count="91">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vertical="top" wrapText="1"/>
    </xf>
    <xf numFmtId="0" fontId="4" fillId="0" borderId="0" xfId="0" applyFont="1" applyBorder="1" applyAlignment="1">
      <alignment/>
    </xf>
    <xf numFmtId="0" fontId="2" fillId="0" borderId="0" xfId="0" applyFont="1" applyAlignment="1">
      <alignment/>
    </xf>
    <xf numFmtId="0" fontId="2" fillId="0" borderId="0" xfId="0" applyFont="1" applyBorder="1" applyAlignment="1">
      <alignment/>
    </xf>
    <xf numFmtId="0" fontId="2" fillId="0" borderId="0" xfId="80" applyFont="1" applyBorder="1" applyAlignment="1">
      <alignment/>
      <protection/>
    </xf>
    <xf numFmtId="0" fontId="2" fillId="0" borderId="0" xfId="0" applyFont="1" applyAlignment="1">
      <alignment/>
    </xf>
    <xf numFmtId="0" fontId="11" fillId="0" borderId="0" xfId="0" applyFont="1" applyAlignment="1">
      <alignment/>
    </xf>
    <xf numFmtId="0" fontId="11" fillId="0" borderId="0" xfId="0" applyFont="1" applyBorder="1" applyAlignment="1">
      <alignment/>
    </xf>
    <xf numFmtId="0" fontId="2" fillId="0" borderId="0" xfId="53" applyFont="1">
      <alignment horizontal="right" vertical="top" wrapText="1"/>
      <protection/>
    </xf>
    <xf numFmtId="0" fontId="2" fillId="0" borderId="0" xfId="0" applyFont="1" applyAlignment="1">
      <alignment vertical="top" wrapText="1"/>
    </xf>
    <xf numFmtId="0" fontId="10" fillId="0" borderId="0" xfId="0" applyFont="1" applyAlignment="1">
      <alignment horizontal="left"/>
    </xf>
    <xf numFmtId="0" fontId="2" fillId="0" borderId="0" xfId="0" applyFont="1" applyBorder="1" applyAlignment="1">
      <alignment vertical="center" wrapText="1"/>
    </xf>
    <xf numFmtId="0" fontId="9" fillId="0" borderId="0" xfId="80" applyFont="1" applyAlignment="1">
      <alignment/>
      <protection/>
    </xf>
    <xf numFmtId="0" fontId="2" fillId="0" borderId="0" xfId="0" applyNumberFormat="1" applyFont="1" applyBorder="1" applyAlignment="1">
      <alignment horizontal="right" vertical="top" wrapText="1"/>
    </xf>
    <xf numFmtId="0" fontId="2" fillId="0" borderId="0" xfId="0" applyNumberFormat="1" applyFont="1" applyBorder="1" applyAlignment="1">
      <alignment horizontal="center" vertical="top" wrapText="1"/>
    </xf>
    <xf numFmtId="0" fontId="5" fillId="0" borderId="10" xfId="0" applyFont="1" applyBorder="1" applyAlignment="1">
      <alignment/>
    </xf>
    <xf numFmtId="4" fontId="2" fillId="0" borderId="0" xfId="0" applyNumberFormat="1" applyFont="1" applyAlignment="1">
      <alignment/>
    </xf>
    <xf numFmtId="4" fontId="5" fillId="0" borderId="0" xfId="0" applyNumberFormat="1" applyFont="1" applyAlignment="1">
      <alignment/>
    </xf>
    <xf numFmtId="0" fontId="12" fillId="0" borderId="0" xfId="0" applyFont="1" applyAlignment="1">
      <alignment vertical="top"/>
    </xf>
    <xf numFmtId="4" fontId="12" fillId="0" borderId="0" xfId="0" applyNumberFormat="1" applyFont="1" applyAlignment="1">
      <alignment/>
    </xf>
    <xf numFmtId="0" fontId="12" fillId="0" borderId="0" xfId="0" applyFont="1" applyAlignment="1">
      <alignment/>
    </xf>
    <xf numFmtId="0" fontId="5" fillId="0" borderId="10" xfId="80" applyFont="1" applyBorder="1" applyAlignment="1">
      <alignment horizontal="left"/>
      <protection/>
    </xf>
    <xf numFmtId="4" fontId="5" fillId="0" borderId="10" xfId="80" applyNumberFormat="1" applyFont="1" applyBorder="1" applyAlignment="1">
      <alignment horizontal="left"/>
      <protection/>
    </xf>
    <xf numFmtId="0" fontId="5" fillId="0" borderId="0" xfId="80" applyFont="1" applyBorder="1" applyAlignment="1">
      <alignment horizontal="left"/>
      <protection/>
    </xf>
    <xf numFmtId="4" fontId="5" fillId="0" borderId="10" xfId="0" applyNumberFormat="1" applyFont="1" applyBorder="1" applyAlignment="1">
      <alignment/>
    </xf>
    <xf numFmtId="0" fontId="5" fillId="0" borderId="0" xfId="0" applyFont="1" applyBorder="1" applyAlignment="1">
      <alignment horizontal="right"/>
    </xf>
    <xf numFmtId="4" fontId="5" fillId="0" borderId="0" xfId="0" applyNumberFormat="1" applyFont="1" applyBorder="1" applyAlignment="1">
      <alignment horizontal="left"/>
    </xf>
    <xf numFmtId="0" fontId="5" fillId="0" borderId="0" xfId="0" applyFont="1" applyBorder="1" applyAlignment="1">
      <alignment horizontal="left"/>
    </xf>
    <xf numFmtId="4" fontId="5" fillId="0" borderId="0" xfId="0" applyNumberFormat="1" applyFont="1" applyBorder="1" applyAlignment="1">
      <alignment/>
    </xf>
    <xf numFmtId="0" fontId="5" fillId="0" borderId="0" xfId="80" applyFont="1" applyBorder="1" applyAlignment="1">
      <alignment/>
      <protection/>
    </xf>
    <xf numFmtId="4" fontId="5" fillId="0" borderId="0" xfId="80" applyNumberFormat="1" applyFont="1" applyBorder="1" applyAlignment="1">
      <alignment/>
      <protection/>
    </xf>
    <xf numFmtId="0" fontId="5" fillId="0" borderId="0" xfId="0" applyFont="1" applyAlignment="1">
      <alignment horizontal="right"/>
    </xf>
    <xf numFmtId="0" fontId="5" fillId="0" borderId="0" xfId="59" applyFont="1" applyBorder="1" applyAlignment="1">
      <alignment horizontal="right" vertical="top"/>
      <protection/>
    </xf>
    <xf numFmtId="0" fontId="13" fillId="0" borderId="0" xfId="0" applyFont="1" applyAlignment="1">
      <alignment horizontal="left"/>
    </xf>
    <xf numFmtId="4" fontId="13" fillId="0" borderId="0" xfId="0" applyNumberFormat="1" applyFont="1" applyAlignment="1">
      <alignment horizontal="left"/>
    </xf>
    <xf numFmtId="0" fontId="5" fillId="0" borderId="0" xfId="80" applyFont="1" applyAlignment="1">
      <alignment horizontal="left"/>
      <protection/>
    </xf>
    <xf numFmtId="4" fontId="5" fillId="0" borderId="0" xfId="0" applyNumberFormat="1" applyFont="1" applyAlignment="1">
      <alignment/>
    </xf>
    <xf numFmtId="0" fontId="5" fillId="0" borderId="1" xfId="63" applyFont="1" applyAlignment="1">
      <alignment horizontal="center" vertical="center" wrapText="1"/>
      <protection/>
    </xf>
    <xf numFmtId="4" fontId="4" fillId="0" borderId="0" xfId="0" applyNumberFormat="1" applyFont="1" applyAlignment="1">
      <alignment/>
    </xf>
    <xf numFmtId="0" fontId="5" fillId="0" borderId="0" xfId="83" applyFont="1" applyBorder="1" applyAlignment="1">
      <alignment horizontal="left" vertical="top"/>
      <protection/>
    </xf>
    <xf numFmtId="0" fontId="5" fillId="0" borderId="10" xfId="0" applyFont="1" applyBorder="1" applyAlignment="1">
      <alignment/>
    </xf>
    <xf numFmtId="4" fontId="5" fillId="0" borderId="10" xfId="0" applyNumberFormat="1" applyFont="1" applyBorder="1" applyAlignment="1">
      <alignment/>
    </xf>
    <xf numFmtId="0" fontId="0" fillId="0" borderId="0" xfId="60">
      <alignment/>
      <protection/>
    </xf>
    <xf numFmtId="0" fontId="2" fillId="0" borderId="11" xfId="75" applyBorder="1">
      <alignment horizontal="center"/>
      <protection/>
    </xf>
    <xf numFmtId="0" fontId="2" fillId="0" borderId="11" xfId="75" applyFill="1" applyBorder="1">
      <alignment horizontal="center"/>
      <protection/>
    </xf>
    <xf numFmtId="3" fontId="14" fillId="0" borderId="1" xfId="0" applyNumberFormat="1" applyFont="1" applyBorder="1" applyAlignment="1">
      <alignment horizontal="left" vertical="top" wrapText="1"/>
    </xf>
    <xf numFmtId="3" fontId="5" fillId="0" borderId="1" xfId="0" applyNumberFormat="1" applyFont="1" applyBorder="1" applyAlignment="1">
      <alignment horizontal="left" vertical="top" wrapText="1"/>
    </xf>
    <xf numFmtId="4" fontId="5" fillId="0" borderId="1" xfId="0" applyNumberFormat="1" applyFont="1" applyBorder="1" applyAlignment="1">
      <alignment horizontal="left" vertical="top" wrapText="1"/>
    </xf>
    <xf numFmtId="3" fontId="14" fillId="0" borderId="11" xfId="0" applyNumberFormat="1" applyFont="1" applyBorder="1" applyAlignment="1">
      <alignment horizontal="left" vertical="top" wrapText="1"/>
    </xf>
    <xf numFmtId="3" fontId="5" fillId="0" borderId="11" xfId="0" applyNumberFormat="1" applyFont="1" applyBorder="1" applyAlignment="1">
      <alignment horizontal="left" vertical="top" wrapText="1"/>
    </xf>
    <xf numFmtId="4" fontId="5" fillId="0" borderId="11" xfId="0" applyNumberFormat="1" applyFont="1" applyBorder="1" applyAlignment="1">
      <alignment horizontal="left" vertical="top" wrapText="1"/>
    </xf>
    <xf numFmtId="0" fontId="5" fillId="0" borderId="1" xfId="53" applyFont="1" applyBorder="1">
      <alignment horizontal="right" vertical="top" wrapText="1"/>
      <protection/>
    </xf>
    <xf numFmtId="0" fontId="14" fillId="0" borderId="1" xfId="53" applyFont="1" applyBorder="1">
      <alignment horizontal="right" vertical="top" wrapText="1"/>
      <protection/>
    </xf>
    <xf numFmtId="3" fontId="14" fillId="0" borderId="1" xfId="0" applyNumberFormat="1" applyFont="1" applyFill="1" applyBorder="1" applyAlignment="1">
      <alignment horizontal="left" vertical="top" wrapText="1"/>
    </xf>
    <xf numFmtId="3" fontId="5" fillId="0" borderId="1" xfId="0" applyNumberFormat="1" applyFont="1" applyFill="1" applyBorder="1" applyAlignment="1">
      <alignment horizontal="left" vertical="top" wrapText="1"/>
    </xf>
    <xf numFmtId="4" fontId="5" fillId="0" borderId="1" xfId="0" applyNumberFormat="1" applyFont="1" applyFill="1" applyBorder="1" applyAlignment="1">
      <alignment horizontal="left" vertical="top" wrapText="1"/>
    </xf>
    <xf numFmtId="3" fontId="5" fillId="33" borderId="1" xfId="0" applyNumberFormat="1" applyFont="1" applyFill="1" applyBorder="1" applyAlignment="1">
      <alignment horizontal="left" vertical="top" wrapText="1"/>
    </xf>
    <xf numFmtId="0" fontId="5" fillId="33" borderId="1" xfId="63" applyFont="1" applyFill="1" applyAlignment="1">
      <alignment horizontal="center" vertical="center" wrapText="1"/>
      <protection/>
    </xf>
    <xf numFmtId="0" fontId="2" fillId="33" borderId="11" xfId="75" applyFill="1" applyBorder="1">
      <alignment horizontal="center"/>
      <protection/>
    </xf>
    <xf numFmtId="0" fontId="2" fillId="0" borderId="0" xfId="0" applyNumberFormat="1" applyFont="1" applyFill="1" applyBorder="1" applyAlignment="1">
      <alignment horizontal="right" vertical="top" wrapText="1"/>
    </xf>
    <xf numFmtId="0" fontId="2" fillId="0" borderId="0" xfId="0" applyNumberFormat="1" applyFont="1" applyFill="1" applyBorder="1" applyAlignment="1">
      <alignment horizontal="center" vertical="top" wrapText="1"/>
    </xf>
    <xf numFmtId="0" fontId="11" fillId="0" borderId="0" xfId="0" applyFont="1" applyFill="1" applyBorder="1" applyAlignment="1">
      <alignment/>
    </xf>
    <xf numFmtId="0" fontId="4" fillId="0" borderId="0" xfId="0" applyFont="1" applyFill="1" applyBorder="1" applyAlignment="1">
      <alignment/>
    </xf>
    <xf numFmtId="3" fontId="14" fillId="33" borderId="1" xfId="0" applyNumberFormat="1" applyFont="1" applyFill="1" applyBorder="1" applyAlignment="1">
      <alignment horizontal="left" vertical="top" wrapText="1"/>
    </xf>
    <xf numFmtId="4" fontId="5" fillId="33" borderId="1" xfId="0" applyNumberFormat="1" applyFont="1" applyFill="1" applyBorder="1" applyAlignment="1">
      <alignment horizontal="left" vertical="top" wrapText="1"/>
    </xf>
    <xf numFmtId="0" fontId="2" fillId="33" borderId="0" xfId="0" applyNumberFormat="1" applyFont="1" applyFill="1" applyBorder="1" applyAlignment="1">
      <alignment horizontal="right" vertical="top" wrapText="1"/>
    </xf>
    <xf numFmtId="0" fontId="2" fillId="33" borderId="0" xfId="0" applyNumberFormat="1" applyFont="1" applyFill="1" applyBorder="1" applyAlignment="1">
      <alignment horizontal="center" vertical="top" wrapText="1"/>
    </xf>
    <xf numFmtId="3" fontId="2" fillId="33" borderId="0" xfId="0" applyNumberFormat="1" applyFont="1" applyFill="1" applyBorder="1" applyAlignment="1">
      <alignment horizontal="right" vertical="top" wrapText="1"/>
    </xf>
    <xf numFmtId="0" fontId="5" fillId="0" borderId="1" xfId="53" applyFont="1" applyBorder="1" applyAlignment="1">
      <alignment horizontal="left" vertical="top" wrapText="1"/>
      <protection/>
    </xf>
    <xf numFmtId="0" fontId="0" fillId="0" borderId="1" xfId="0" applyFont="1" applyBorder="1" applyAlignment="1">
      <alignment horizontal="left" vertical="top" wrapText="1"/>
    </xf>
    <xf numFmtId="0" fontId="14" fillId="0" borderId="1" xfId="53" applyFont="1" applyBorder="1" applyAlignment="1">
      <alignment horizontal="left" vertical="top" wrapText="1"/>
      <protection/>
    </xf>
    <xf numFmtId="0" fontId="16" fillId="0" borderId="1" xfId="0" applyFont="1" applyBorder="1" applyAlignment="1">
      <alignment horizontal="left" vertical="top" wrapText="1"/>
    </xf>
    <xf numFmtId="3" fontId="15" fillId="0" borderId="1" xfId="0" applyNumberFormat="1" applyFont="1" applyBorder="1" applyAlignment="1">
      <alignment horizontal="left" vertical="top" wrapText="1"/>
    </xf>
    <xf numFmtId="0" fontId="19" fillId="0" borderId="1" xfId="0" applyFont="1" applyBorder="1" applyAlignment="1">
      <alignment horizontal="left" vertical="top" wrapText="1"/>
    </xf>
    <xf numFmtId="3" fontId="17" fillId="0" borderId="1" xfId="0" applyNumberFormat="1" applyFont="1" applyBorder="1" applyAlignment="1">
      <alignment horizontal="left" vertical="top" wrapText="1"/>
    </xf>
    <xf numFmtId="0" fontId="18" fillId="0" borderId="1" xfId="0" applyFont="1" applyBorder="1" applyAlignment="1">
      <alignment horizontal="left" vertical="top" wrapText="1"/>
    </xf>
    <xf numFmtId="3" fontId="15" fillId="33" borderId="1" xfId="0" applyNumberFormat="1" applyFont="1" applyFill="1" applyBorder="1" applyAlignment="1">
      <alignment horizontal="left" vertical="top" wrapText="1"/>
    </xf>
    <xf numFmtId="0" fontId="19" fillId="33" borderId="1" xfId="0" applyFont="1" applyFill="1" applyBorder="1" applyAlignment="1">
      <alignment horizontal="left" vertical="top" wrapText="1"/>
    </xf>
    <xf numFmtId="0" fontId="5" fillId="0" borderId="1" xfId="63" applyFont="1" applyAlignment="1">
      <alignment horizontal="center" vertical="center" wrapText="1"/>
      <protection/>
    </xf>
    <xf numFmtId="4" fontId="5" fillId="0" borderId="1" xfId="63" applyNumberFormat="1" applyFont="1" applyAlignment="1">
      <alignment horizontal="center" vertical="center" wrapText="1"/>
      <protection/>
    </xf>
    <xf numFmtId="0" fontId="5" fillId="0" borderId="10" xfId="80" applyFont="1" applyBorder="1" applyAlignment="1">
      <alignment horizontal="left" vertical="top"/>
      <protection/>
    </xf>
    <xf numFmtId="0" fontId="5" fillId="0" borderId="12" xfId="0" applyFont="1" applyBorder="1" applyAlignment="1">
      <alignment horizontal="left" vertical="top"/>
    </xf>
    <xf numFmtId="0" fontId="5" fillId="0" borderId="0" xfId="0" applyFont="1" applyBorder="1" applyAlignment="1">
      <alignment horizontal="left" vertical="top"/>
    </xf>
    <xf numFmtId="0" fontId="12" fillId="0" borderId="0" xfId="80" applyFont="1" applyAlignment="1">
      <alignment horizontal="center"/>
      <protection/>
    </xf>
    <xf numFmtId="0" fontId="5" fillId="0" borderId="0" xfId="0" applyFont="1" applyBorder="1" applyAlignment="1">
      <alignment horizontal="center" vertical="center" wrapText="1"/>
    </xf>
    <xf numFmtId="0" fontId="15" fillId="0" borderId="13" xfId="0" applyFont="1" applyBorder="1" applyAlignment="1">
      <alignment horizontal="center" vertical="center"/>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т" xfId="33"/>
    <cellStyle name="АктМТСН" xfId="34"/>
    <cellStyle name="Акцент1" xfId="35"/>
    <cellStyle name="Акцент2" xfId="36"/>
    <cellStyle name="Акцент3" xfId="37"/>
    <cellStyle name="Акцент4" xfId="38"/>
    <cellStyle name="Акцент5" xfId="39"/>
    <cellStyle name="Акцент6" xfId="40"/>
    <cellStyle name="Ввод " xfId="41"/>
    <cellStyle name="ВедРесурсов" xfId="42"/>
    <cellStyle name="ВедРесурсовАкт" xfId="43"/>
    <cellStyle name="Вывод" xfId="44"/>
    <cellStyle name="Вычисление" xfId="45"/>
    <cellStyle name="Currency" xfId="46"/>
    <cellStyle name="Currency [0]" xfId="47"/>
    <cellStyle name="Заголовок 1" xfId="48"/>
    <cellStyle name="Заголовок 3" xfId="49"/>
    <cellStyle name="Заголовок 4" xfId="50"/>
    <cellStyle name="Индексы" xfId="51"/>
    <cellStyle name="Итог" xfId="52"/>
    <cellStyle name="Итоги" xfId="53"/>
    <cellStyle name="ИтогоАктБазЦ" xfId="54"/>
    <cellStyle name="ИтогоАктБИМ" xfId="55"/>
    <cellStyle name="ИтогоАктРесМет" xfId="56"/>
    <cellStyle name="ИтогоАктТекЦ" xfId="57"/>
    <cellStyle name="ИтогоБазЦ" xfId="58"/>
    <cellStyle name="ИтогоБИМ" xfId="59"/>
    <cellStyle name="ИтогоРесМет" xfId="60"/>
    <cellStyle name="ИтогоТекЦ" xfId="61"/>
    <cellStyle name="Контрольная ячейка" xfId="62"/>
    <cellStyle name="ЛокСмета" xfId="63"/>
    <cellStyle name="ЛокСмМТСН" xfId="64"/>
    <cellStyle name="М29" xfId="65"/>
    <cellStyle name="Название" xfId="66"/>
    <cellStyle name="Нейтральный" xfId="67"/>
    <cellStyle name="ОбСмета" xfId="68"/>
    <cellStyle name="Параметр" xfId="69"/>
    <cellStyle name="ПеременныеСметы" xfId="70"/>
    <cellStyle name="Плохой" xfId="71"/>
    <cellStyle name="Пояснение" xfId="72"/>
    <cellStyle name="Примечание" xfId="73"/>
    <cellStyle name="Percent" xfId="74"/>
    <cellStyle name="РесСмета" xfId="75"/>
    <cellStyle name="СводкаСтоимРаб" xfId="76"/>
    <cellStyle name="СводРасч" xfId="77"/>
    <cellStyle name="Связанная ячейка" xfId="78"/>
    <cellStyle name="Текст предупреждения" xfId="79"/>
    <cellStyle name="Титул" xfId="80"/>
    <cellStyle name="Comma" xfId="81"/>
    <cellStyle name="Comma [0]" xfId="82"/>
    <cellStyle name="Хвост" xfId="83"/>
    <cellStyle name="Хороший" xfId="84"/>
    <cellStyle name="Экспертиза"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75"/>
  <sheetViews>
    <sheetView showGridLines="0" tabSelected="1" zoomScaleSheetLayoutView="120" zoomScalePageLayoutView="0" workbookViewId="0" topLeftCell="A3">
      <selection activeCell="L18" sqref="L18"/>
    </sheetView>
  </sheetViews>
  <sheetFormatPr defaultColWidth="9.00390625" defaultRowHeight="12.75"/>
  <cols>
    <col min="1" max="1" width="5.875" style="7" customWidth="1"/>
    <col min="2" max="2" width="20.875" style="7" customWidth="1"/>
    <col min="3" max="3" width="77.00390625" style="7" customWidth="1"/>
    <col min="4" max="4" width="12.125" style="7" customWidth="1"/>
    <col min="5" max="5" width="10.25390625" style="21" customWidth="1"/>
    <col min="6" max="10" width="10.25390625" style="7" customWidth="1"/>
    <col min="11" max="11" width="9.00390625" style="7" customWidth="1"/>
    <col min="12" max="12" width="9.625" style="7" customWidth="1"/>
    <col min="13" max="13" width="11.625" style="7" customWidth="1"/>
    <col min="14" max="14" width="13.625" style="7" customWidth="1"/>
    <col min="15" max="16384" width="9.125" style="1" customWidth="1"/>
  </cols>
  <sheetData>
    <row r="1" spans="1:10" ht="12.75">
      <c r="A1" s="1"/>
      <c r="B1" s="1"/>
      <c r="C1" s="1"/>
      <c r="D1" s="1"/>
      <c r="E1" s="22"/>
      <c r="F1" s="1"/>
      <c r="G1" s="1"/>
      <c r="H1" s="1"/>
      <c r="I1" s="1"/>
      <c r="J1" s="1"/>
    </row>
    <row r="2" spans="1:10" ht="15.75">
      <c r="A2" s="1"/>
      <c r="B2" s="23" t="s">
        <v>10</v>
      </c>
      <c r="C2" s="1"/>
      <c r="D2" s="1"/>
      <c r="E2" s="24" t="s">
        <v>4</v>
      </c>
      <c r="F2" s="25"/>
      <c r="G2" s="25"/>
      <c r="H2" s="25"/>
      <c r="I2" s="25"/>
      <c r="J2" s="25"/>
    </row>
    <row r="3" spans="1:14" ht="12.75">
      <c r="A3" s="1"/>
      <c r="B3" s="85" t="s">
        <v>9</v>
      </c>
      <c r="C3" s="85"/>
      <c r="D3" s="3"/>
      <c r="E3" s="27" t="s">
        <v>8</v>
      </c>
      <c r="F3" s="26"/>
      <c r="G3" s="26"/>
      <c r="H3" s="26"/>
      <c r="I3" s="26"/>
      <c r="J3" s="26"/>
      <c r="K3" s="8"/>
      <c r="L3" s="8"/>
      <c r="M3" s="8"/>
      <c r="N3" s="8"/>
    </row>
    <row r="4" spans="2:14" s="3" customFormat="1" ht="12.75">
      <c r="B4" s="86"/>
      <c r="C4" s="86"/>
      <c r="E4" s="29"/>
      <c r="F4" s="20"/>
      <c r="G4" s="20"/>
      <c r="H4" s="20"/>
      <c r="I4" s="20"/>
      <c r="J4" s="20"/>
      <c r="K4" s="8"/>
      <c r="M4" s="8"/>
      <c r="N4" s="8"/>
    </row>
    <row r="5" spans="2:14" s="3" customFormat="1" ht="12.75">
      <c r="B5" s="87" t="s">
        <v>22</v>
      </c>
      <c r="C5" s="87"/>
      <c r="E5" s="31" t="s">
        <v>23</v>
      </c>
      <c r="F5" s="32"/>
      <c r="G5" s="32"/>
      <c r="H5" s="32"/>
      <c r="I5" s="32"/>
      <c r="J5" s="32"/>
      <c r="K5" s="8"/>
      <c r="N5" s="8"/>
    </row>
    <row r="6" spans="5:14" s="3" customFormat="1" ht="12.75">
      <c r="E6" s="33"/>
      <c r="K6" s="8"/>
      <c r="L6" s="8"/>
      <c r="M6" s="8"/>
      <c r="N6" s="8"/>
    </row>
    <row r="7" spans="1:10" ht="12.75">
      <c r="A7" s="1"/>
      <c r="B7" s="1"/>
      <c r="C7" s="1"/>
      <c r="D7" s="1"/>
      <c r="E7" s="22"/>
      <c r="F7" s="1"/>
      <c r="G7" s="1"/>
      <c r="H7" s="1"/>
      <c r="I7" s="1"/>
      <c r="J7" s="1"/>
    </row>
    <row r="8" spans="1:15" ht="12.75">
      <c r="A8" s="1"/>
      <c r="B8" s="34"/>
      <c r="C8" s="34"/>
      <c r="D8" s="34"/>
      <c r="E8" s="35"/>
      <c r="F8" s="34"/>
      <c r="G8" s="34"/>
      <c r="H8" s="34"/>
      <c r="I8" s="34"/>
      <c r="J8" s="34"/>
      <c r="K8" s="9"/>
      <c r="L8" s="9"/>
      <c r="M8" s="9"/>
      <c r="N8" s="9"/>
      <c r="O8" s="3"/>
    </row>
    <row r="9" spans="1:14" ht="15.75">
      <c r="A9" s="88" t="s">
        <v>24</v>
      </c>
      <c r="B9" s="88"/>
      <c r="C9" s="88"/>
      <c r="D9" s="88"/>
      <c r="E9" s="88"/>
      <c r="F9" s="88"/>
      <c r="G9" s="88"/>
      <c r="H9" s="88"/>
      <c r="I9" s="88"/>
      <c r="J9" s="88"/>
      <c r="K9" s="17"/>
      <c r="L9" s="17"/>
      <c r="M9" s="17"/>
      <c r="N9" s="17"/>
    </row>
    <row r="10" spans="1:10" ht="12.75">
      <c r="A10" s="1"/>
      <c r="B10" s="1"/>
      <c r="C10" s="1"/>
      <c r="D10" s="1"/>
      <c r="E10" s="22"/>
      <c r="F10" s="1"/>
      <c r="G10" s="1"/>
      <c r="H10" s="89"/>
      <c r="I10" s="89"/>
      <c r="J10" s="89"/>
    </row>
    <row r="11" spans="1:14" ht="12.75">
      <c r="A11" s="28" t="s">
        <v>518</v>
      </c>
      <c r="B11" s="34"/>
      <c r="C11" s="34"/>
      <c r="D11" s="34"/>
      <c r="E11" s="35"/>
      <c r="F11" s="34"/>
      <c r="G11" s="1"/>
      <c r="H11" s="36" t="s">
        <v>0</v>
      </c>
      <c r="I11" s="47">
        <v>24934602.4</v>
      </c>
      <c r="J11" s="37" t="s">
        <v>21</v>
      </c>
      <c r="K11" s="9"/>
      <c r="L11" s="9"/>
      <c r="M11" s="9"/>
      <c r="N11" s="9"/>
    </row>
    <row r="12" spans="1:14" ht="12.75">
      <c r="A12" s="28" t="s">
        <v>515</v>
      </c>
      <c r="B12" s="38"/>
      <c r="C12" s="38"/>
      <c r="D12" s="38"/>
      <c r="E12" s="39"/>
      <c r="F12" s="38"/>
      <c r="G12" s="1"/>
      <c r="H12" s="36" t="s">
        <v>5</v>
      </c>
      <c r="I12" s="47">
        <v>26860.96</v>
      </c>
      <c r="J12" s="30" t="s">
        <v>6</v>
      </c>
      <c r="K12" s="15"/>
      <c r="L12" s="15"/>
      <c r="M12" s="15"/>
      <c r="N12" s="15"/>
    </row>
    <row r="13" spans="1:10" ht="12.75">
      <c r="A13" s="40" t="s">
        <v>25</v>
      </c>
      <c r="B13" s="1"/>
      <c r="C13" s="1"/>
      <c r="D13" s="1"/>
      <c r="E13" s="22"/>
      <c r="F13" s="1"/>
      <c r="G13" s="1"/>
      <c r="H13" s="36" t="s">
        <v>20</v>
      </c>
      <c r="I13" s="47">
        <f>24934602.4-12232300.06*1.2</f>
        <v>10255842.327999998</v>
      </c>
      <c r="J13" s="37" t="s">
        <v>21</v>
      </c>
    </row>
    <row r="14" spans="5:14" s="4" customFormat="1" ht="12.75">
      <c r="E14" s="41"/>
      <c r="H14" s="36" t="s">
        <v>19</v>
      </c>
      <c r="I14" s="47">
        <f>12232300.06*1.2</f>
        <v>14678760.072</v>
      </c>
      <c r="J14" s="37" t="s">
        <v>21</v>
      </c>
      <c r="K14" s="10"/>
      <c r="L14" s="10"/>
      <c r="M14" s="16"/>
      <c r="N14" s="16"/>
    </row>
    <row r="15" spans="1:10" ht="12.75">
      <c r="A15" s="1"/>
      <c r="B15" s="1"/>
      <c r="C15" s="1"/>
      <c r="D15" s="1"/>
      <c r="E15" s="22"/>
      <c r="F15" s="1"/>
      <c r="G15" s="1"/>
      <c r="H15" s="1"/>
      <c r="I15" s="1"/>
      <c r="J15" s="1"/>
    </row>
    <row r="16" spans="1:14" ht="25.5" customHeight="1">
      <c r="A16" s="83" t="s">
        <v>1</v>
      </c>
      <c r="B16" s="83" t="s">
        <v>11</v>
      </c>
      <c r="C16" s="83" t="s">
        <v>2</v>
      </c>
      <c r="D16" s="83" t="s">
        <v>3</v>
      </c>
      <c r="E16" s="84" t="s">
        <v>12</v>
      </c>
      <c r="F16" s="83" t="s">
        <v>14</v>
      </c>
      <c r="G16" s="83"/>
      <c r="H16" s="83" t="s">
        <v>17</v>
      </c>
      <c r="I16" s="83"/>
      <c r="J16" s="83"/>
      <c r="K16" s="8"/>
      <c r="L16" s="3"/>
      <c r="M16" s="3"/>
      <c r="N16" s="1"/>
    </row>
    <row r="17" spans="1:14" ht="22.5" customHeight="1">
      <c r="A17" s="83"/>
      <c r="B17" s="83"/>
      <c r="C17" s="83"/>
      <c r="D17" s="83"/>
      <c r="E17" s="84"/>
      <c r="F17" s="83" t="s">
        <v>13</v>
      </c>
      <c r="G17" s="83"/>
      <c r="H17" s="83" t="s">
        <v>18</v>
      </c>
      <c r="I17" s="83" t="s">
        <v>13</v>
      </c>
      <c r="J17" s="83"/>
      <c r="K17" s="8"/>
      <c r="L17" s="3"/>
      <c r="M17" s="3"/>
      <c r="N17" s="1"/>
    </row>
    <row r="18" spans="1:14" ht="27" customHeight="1">
      <c r="A18" s="83"/>
      <c r="B18" s="83"/>
      <c r="C18" s="83"/>
      <c r="D18" s="83"/>
      <c r="E18" s="84"/>
      <c r="F18" s="62" t="s">
        <v>15</v>
      </c>
      <c r="G18" s="42" t="s">
        <v>16</v>
      </c>
      <c r="H18" s="83"/>
      <c r="I18" s="42" t="s">
        <v>15</v>
      </c>
      <c r="J18" s="42" t="s">
        <v>16</v>
      </c>
      <c r="K18" s="8"/>
      <c r="L18" s="3"/>
      <c r="M18" s="3"/>
      <c r="N18" s="1"/>
    </row>
    <row r="19" spans="1:13" s="2" customFormat="1" ht="12.75">
      <c r="A19" s="48">
        <v>1</v>
      </c>
      <c r="B19" s="48">
        <v>2</v>
      </c>
      <c r="C19" s="48">
        <v>3</v>
      </c>
      <c r="D19" s="48">
        <v>4</v>
      </c>
      <c r="E19" s="48">
        <v>5</v>
      </c>
      <c r="F19" s="63">
        <v>6</v>
      </c>
      <c r="G19" s="49">
        <v>7</v>
      </c>
      <c r="H19" s="49">
        <v>8</v>
      </c>
      <c r="I19" s="49">
        <v>9</v>
      </c>
      <c r="J19" s="49">
        <v>10</v>
      </c>
      <c r="M19" s="6"/>
    </row>
    <row r="20" spans="1:14" s="6" customFormat="1" ht="18.75" customHeight="1">
      <c r="A20" s="79" t="s">
        <v>27</v>
      </c>
      <c r="B20" s="80"/>
      <c r="C20" s="80"/>
      <c r="D20" s="80"/>
      <c r="E20" s="80"/>
      <c r="F20" s="80"/>
      <c r="G20" s="80"/>
      <c r="H20" s="80"/>
      <c r="I20" s="80"/>
      <c r="J20" s="80"/>
      <c r="K20" s="18"/>
      <c r="L20" s="19"/>
      <c r="M20" s="18"/>
      <c r="N20" s="12"/>
    </row>
    <row r="21" spans="1:14" s="6" customFormat="1" ht="18" customHeight="1">
      <c r="A21" s="77" t="s">
        <v>28</v>
      </c>
      <c r="B21" s="78"/>
      <c r="C21" s="78"/>
      <c r="D21" s="78"/>
      <c r="E21" s="78"/>
      <c r="F21" s="78"/>
      <c r="G21" s="78"/>
      <c r="H21" s="78"/>
      <c r="I21" s="78"/>
      <c r="J21" s="78"/>
      <c r="K21" s="18"/>
      <c r="L21" s="19"/>
      <c r="M21" s="18"/>
      <c r="N21" s="12"/>
    </row>
    <row r="22" spans="1:14" s="6" customFormat="1" ht="140.25">
      <c r="A22" s="50">
        <v>1</v>
      </c>
      <c r="B22" s="50" t="s">
        <v>29</v>
      </c>
      <c r="C22" s="51" t="s">
        <v>30</v>
      </c>
      <c r="D22" s="51" t="s">
        <v>31</v>
      </c>
      <c r="E22" s="52">
        <v>12.9159</v>
      </c>
      <c r="F22" s="51">
        <f>(16755.7-1702.95)*1.2</f>
        <v>18063.3</v>
      </c>
      <c r="G22" s="51">
        <f>1702.95*1.2</f>
        <v>2043.54</v>
      </c>
      <c r="H22" s="51">
        <f>216414.97*1.2</f>
        <v>259697.96399999998</v>
      </c>
      <c r="I22" s="51">
        <f>(216414.97-21995.13)*1.2</f>
        <v>233303.808</v>
      </c>
      <c r="J22" s="51">
        <f>21995.13*1.2</f>
        <v>26394.156</v>
      </c>
      <c r="K22" s="18"/>
      <c r="L22" s="19"/>
      <c r="M22" s="18"/>
      <c r="N22" s="12"/>
    </row>
    <row r="23" spans="1:14" s="6" customFormat="1" ht="204">
      <c r="A23" s="50">
        <v>2</v>
      </c>
      <c r="B23" s="50" t="s">
        <v>32</v>
      </c>
      <c r="C23" s="51" t="s">
        <v>33</v>
      </c>
      <c r="D23" s="51" t="s">
        <v>31</v>
      </c>
      <c r="E23" s="52">
        <v>0.1984</v>
      </c>
      <c r="F23" s="51">
        <f>(3085.89-328.61)*1.2</f>
        <v>3308.7359999999994</v>
      </c>
      <c r="G23" s="51">
        <f>328.61*1.2</f>
        <v>394.332</v>
      </c>
      <c r="H23" s="51">
        <f>612.24*1.2</f>
        <v>734.688</v>
      </c>
      <c r="I23" s="51">
        <f>(612.24-65.19)*1.2</f>
        <v>656.4599999999999</v>
      </c>
      <c r="J23" s="51">
        <f>65.19*1.2</f>
        <v>78.228</v>
      </c>
      <c r="K23" s="18"/>
      <c r="L23" s="19"/>
      <c r="M23" s="18"/>
      <c r="N23" s="12"/>
    </row>
    <row r="24" spans="1:14" s="6" customFormat="1" ht="204">
      <c r="A24" s="50">
        <v>3</v>
      </c>
      <c r="B24" s="50" t="s">
        <v>34</v>
      </c>
      <c r="C24" s="51" t="s">
        <v>35</v>
      </c>
      <c r="D24" s="51" t="s">
        <v>31</v>
      </c>
      <c r="E24" s="52">
        <v>11.5077</v>
      </c>
      <c r="F24" s="51">
        <f>(19782.96-1557.73)*1.2</f>
        <v>21870.275999999998</v>
      </c>
      <c r="G24" s="51">
        <f>1557.73*1.2</f>
        <v>1869.2759999999998</v>
      </c>
      <c r="H24" s="51">
        <f>227656.35*1.2</f>
        <v>273187.62</v>
      </c>
      <c r="I24" s="51">
        <f>(227656.35-17925.89)*1.2</f>
        <v>251676.55200000003</v>
      </c>
      <c r="J24" s="51">
        <f>17925.89*1.2</f>
        <v>21511.068</v>
      </c>
      <c r="K24" s="18"/>
      <c r="L24" s="19"/>
      <c r="M24" s="18"/>
      <c r="N24" s="12"/>
    </row>
    <row r="25" spans="1:14" s="6" customFormat="1" ht="12.75">
      <c r="A25" s="50">
        <v>4</v>
      </c>
      <c r="B25" s="50" t="s">
        <v>36</v>
      </c>
      <c r="C25" s="51" t="s">
        <v>37</v>
      </c>
      <c r="D25" s="51" t="s">
        <v>38</v>
      </c>
      <c r="E25" s="52">
        <v>0.3798</v>
      </c>
      <c r="F25" s="51">
        <f>(26414.56-26414.55)*1.2</f>
        <v>0.012000000002444722</v>
      </c>
      <c r="G25" s="51">
        <f>26414.55*1.2</f>
        <v>31697.46</v>
      </c>
      <c r="H25" s="51">
        <f>10032.25*1.2</f>
        <v>12038.699999999999</v>
      </c>
      <c r="I25" s="51">
        <f>(10032.25-10032.25)*1.2</f>
        <v>0</v>
      </c>
      <c r="J25" s="51">
        <f>10032.25*1.2</f>
        <v>12038.699999999999</v>
      </c>
      <c r="K25" s="18"/>
      <c r="L25" s="19"/>
      <c r="M25" s="18"/>
      <c r="N25" s="12"/>
    </row>
    <row r="26" spans="1:14" s="6" customFormat="1" ht="12.75">
      <c r="A26" s="50">
        <v>5</v>
      </c>
      <c r="B26" s="50" t="s">
        <v>39</v>
      </c>
      <c r="C26" s="51" t="s">
        <v>40</v>
      </c>
      <c r="D26" s="51" t="s">
        <v>41</v>
      </c>
      <c r="E26" s="52">
        <v>253.2</v>
      </c>
      <c r="F26" s="51">
        <f>(42.04-42.04)*1.2</f>
        <v>0</v>
      </c>
      <c r="G26" s="51">
        <f>42.04*1.2</f>
        <v>50.448</v>
      </c>
      <c r="H26" s="51">
        <f>10644.53*1.2</f>
        <v>12773.436</v>
      </c>
      <c r="I26" s="51">
        <f>(10644.53-10644.53)*1.2</f>
        <v>0</v>
      </c>
      <c r="J26" s="51">
        <f>10644.53*1.2</f>
        <v>12773.436</v>
      </c>
      <c r="K26" s="18"/>
      <c r="L26" s="19"/>
      <c r="M26" s="18"/>
      <c r="N26" s="12"/>
    </row>
    <row r="27" spans="1:14" s="6" customFormat="1" ht="318.75">
      <c r="A27" s="50">
        <v>6</v>
      </c>
      <c r="B27" s="50" t="s">
        <v>42</v>
      </c>
      <c r="C27" s="51" t="s">
        <v>43</v>
      </c>
      <c r="D27" s="51" t="s">
        <v>31</v>
      </c>
      <c r="E27" s="52">
        <v>0.9602</v>
      </c>
      <c r="F27" s="51">
        <f>(20369.25-1580.5)*1.2</f>
        <v>22546.5</v>
      </c>
      <c r="G27" s="51">
        <f>1580.5*1.2</f>
        <v>1896.6</v>
      </c>
      <c r="H27" s="51">
        <f>19558.55*1.2</f>
        <v>23470.26</v>
      </c>
      <c r="I27" s="51">
        <f>(19558.55-1517.59)*1.2</f>
        <v>21649.152</v>
      </c>
      <c r="J27" s="51">
        <f>1517.59*1.2</f>
        <v>1821.108</v>
      </c>
      <c r="K27" s="18"/>
      <c r="L27" s="19"/>
      <c r="M27" s="18"/>
      <c r="N27" s="12"/>
    </row>
    <row r="28" spans="1:14" s="6" customFormat="1" ht="12.75">
      <c r="A28" s="50">
        <v>7</v>
      </c>
      <c r="B28" s="50" t="s">
        <v>44</v>
      </c>
      <c r="C28" s="51" t="s">
        <v>45</v>
      </c>
      <c r="D28" s="51" t="s">
        <v>38</v>
      </c>
      <c r="E28" s="52">
        <v>0.0202</v>
      </c>
      <c r="F28" s="51">
        <f>(40917.33-40917.3)*1.2</f>
        <v>0.03599999999860302</v>
      </c>
      <c r="G28" s="51">
        <f>40917.3*1.2</f>
        <v>49100.76</v>
      </c>
      <c r="H28" s="51">
        <f>826.53*1.2</f>
        <v>991.8359999999999</v>
      </c>
      <c r="I28" s="51">
        <f>(826.53-826.53)*1.2</f>
        <v>0</v>
      </c>
      <c r="J28" s="51">
        <f>826.53*1.2</f>
        <v>991.8359999999999</v>
      </c>
      <c r="K28" s="18"/>
      <c r="L28" s="19"/>
      <c r="M28" s="18"/>
      <c r="N28" s="12"/>
    </row>
    <row r="29" spans="1:14" s="6" customFormat="1" ht="165.75">
      <c r="A29" s="50">
        <v>8</v>
      </c>
      <c r="B29" s="50" t="s">
        <v>46</v>
      </c>
      <c r="C29" s="51" t="s">
        <v>47</v>
      </c>
      <c r="D29" s="51" t="s">
        <v>31</v>
      </c>
      <c r="E29" s="52">
        <v>0.9712</v>
      </c>
      <c r="F29" s="51">
        <f>(10946.55-10.14)*1.2</f>
        <v>13123.692</v>
      </c>
      <c r="G29" s="51">
        <f>10.14*1.2</f>
        <v>12.168000000000001</v>
      </c>
      <c r="H29" s="51">
        <f>10631.29*1.2</f>
        <v>12757.548</v>
      </c>
      <c r="I29" s="51">
        <f>(10631.29-9.85)*1.2</f>
        <v>12745.728000000001</v>
      </c>
      <c r="J29" s="51">
        <f>9.85*1.2</f>
        <v>11.819999999999999</v>
      </c>
      <c r="K29" s="18"/>
      <c r="L29" s="19"/>
      <c r="M29" s="18"/>
      <c r="N29" s="12"/>
    </row>
    <row r="30" spans="1:14" s="6" customFormat="1" ht="12.75">
      <c r="A30" s="50">
        <v>9</v>
      </c>
      <c r="B30" s="50" t="s">
        <v>48</v>
      </c>
      <c r="C30" s="51" t="s">
        <v>49</v>
      </c>
      <c r="D30" s="51" t="s">
        <v>41</v>
      </c>
      <c r="E30" s="52">
        <v>875.1</v>
      </c>
      <c r="F30" s="51">
        <f>(11.79-11.79)*1.2</f>
        <v>0</v>
      </c>
      <c r="G30" s="51">
        <f>11.79*1.2</f>
        <v>14.147999999999998</v>
      </c>
      <c r="H30" s="51">
        <f>10317.43*1.2</f>
        <v>12380.916</v>
      </c>
      <c r="I30" s="51">
        <f>(10317.43-10317.43)*1.2</f>
        <v>0</v>
      </c>
      <c r="J30" s="51">
        <f>10317.43*1.2</f>
        <v>12380.916</v>
      </c>
      <c r="K30" s="18"/>
      <c r="L30" s="19"/>
      <c r="M30" s="18"/>
      <c r="N30" s="12"/>
    </row>
    <row r="31" spans="1:14" s="6" customFormat="1" ht="12.75">
      <c r="A31" s="50">
        <v>10</v>
      </c>
      <c r="B31" s="50" t="s">
        <v>50</v>
      </c>
      <c r="C31" s="51" t="s">
        <v>51</v>
      </c>
      <c r="D31" s="51" t="s">
        <v>38</v>
      </c>
      <c r="E31" s="52">
        <v>0.012626</v>
      </c>
      <c r="F31" s="51">
        <f>(29375.89-29376.02)*1.2</f>
        <v>-0.15600000000122236</v>
      </c>
      <c r="G31" s="51">
        <f>29376.02*1.2</f>
        <v>35251.224</v>
      </c>
      <c r="H31" s="51">
        <f>370.9*1.2</f>
        <v>445.08</v>
      </c>
      <c r="I31" s="51">
        <f>(370.9-370.9)*1.2</f>
        <v>0</v>
      </c>
      <c r="J31" s="51">
        <f>370.9*1.2</f>
        <v>445.08</v>
      </c>
      <c r="K31" s="18"/>
      <c r="L31" s="19"/>
      <c r="M31" s="18"/>
      <c r="N31" s="12"/>
    </row>
    <row r="32" spans="1:14" s="6" customFormat="1" ht="153">
      <c r="A32" s="50">
        <v>11</v>
      </c>
      <c r="B32" s="50" t="s">
        <v>52</v>
      </c>
      <c r="C32" s="51" t="s">
        <v>53</v>
      </c>
      <c r="D32" s="51" t="s">
        <v>31</v>
      </c>
      <c r="E32" s="52">
        <v>1.4278</v>
      </c>
      <c r="F32" s="51">
        <f>(16697.33-706.23)*1.2</f>
        <v>19189.320000000003</v>
      </c>
      <c r="G32" s="51">
        <f>706.23*1.2</f>
        <v>847.476</v>
      </c>
      <c r="H32" s="51">
        <f>23840.45*1.2</f>
        <v>28608.54</v>
      </c>
      <c r="I32" s="51">
        <f>(23840.45-1008.35)*1.2</f>
        <v>27398.52</v>
      </c>
      <c r="J32" s="51">
        <f>1008.35*1.2</f>
        <v>1210.02</v>
      </c>
      <c r="K32" s="18"/>
      <c r="L32" s="19"/>
      <c r="M32" s="18"/>
      <c r="N32" s="12"/>
    </row>
    <row r="33" spans="1:14" s="6" customFormat="1" ht="12.75">
      <c r="A33" s="50">
        <v>12</v>
      </c>
      <c r="B33" s="50" t="s">
        <v>54</v>
      </c>
      <c r="C33" s="51" t="s">
        <v>55</v>
      </c>
      <c r="D33" s="51" t="s">
        <v>38</v>
      </c>
      <c r="E33" s="52">
        <v>0.0985</v>
      </c>
      <c r="F33" s="51">
        <f>(46584.47-46584.44)*1.2</f>
        <v>0.03599999999860302</v>
      </c>
      <c r="G33" s="51">
        <f>46584.44*1.2</f>
        <v>55901.328</v>
      </c>
      <c r="H33" s="51">
        <f>4588.57*1.2</f>
        <v>5506.284</v>
      </c>
      <c r="I33" s="51">
        <f>(4588.57-4588.57)*1.2</f>
        <v>0</v>
      </c>
      <c r="J33" s="51">
        <f>4588.57*1.2</f>
        <v>5506.284</v>
      </c>
      <c r="K33" s="18"/>
      <c r="L33" s="19"/>
      <c r="M33" s="18"/>
      <c r="N33" s="12"/>
    </row>
    <row r="34" spans="1:14" s="6" customFormat="1" ht="153">
      <c r="A34" s="50">
        <v>13</v>
      </c>
      <c r="B34" s="50" t="s">
        <v>56</v>
      </c>
      <c r="C34" s="51" t="s">
        <v>57</v>
      </c>
      <c r="D34" s="51" t="s">
        <v>31</v>
      </c>
      <c r="E34" s="52">
        <v>4.516</v>
      </c>
      <c r="F34" s="51">
        <f>(34975.37-0)*1.2</f>
        <v>41970.444</v>
      </c>
      <c r="G34" s="51">
        <f>0*1.2</f>
        <v>0</v>
      </c>
      <c r="H34" s="51">
        <f>157948.75*1.2</f>
        <v>189538.5</v>
      </c>
      <c r="I34" s="51">
        <f>(157948.75-0)*1.2</f>
        <v>189538.5</v>
      </c>
      <c r="J34" s="51">
        <f>0*1.2</f>
        <v>0</v>
      </c>
      <c r="K34" s="18"/>
      <c r="L34" s="19"/>
      <c r="M34" s="18"/>
      <c r="N34" s="12"/>
    </row>
    <row r="35" spans="1:14" s="6" customFormat="1" ht="12.75">
      <c r="A35" s="50">
        <v>14</v>
      </c>
      <c r="B35" s="50" t="s">
        <v>58</v>
      </c>
      <c r="C35" s="51" t="s">
        <v>59</v>
      </c>
      <c r="D35" s="51" t="s">
        <v>60</v>
      </c>
      <c r="E35" s="52">
        <v>465.1</v>
      </c>
      <c r="F35" s="51">
        <f>(330.7-330.7)*1.2</f>
        <v>0</v>
      </c>
      <c r="G35" s="51">
        <f>330.7*1.2</f>
        <v>396.84</v>
      </c>
      <c r="H35" s="51">
        <f>153808.57*1.2</f>
        <v>184570.284</v>
      </c>
      <c r="I35" s="51">
        <f>(153808.57-153808.57)*1.2</f>
        <v>0</v>
      </c>
      <c r="J35" s="51">
        <f>153808.57*1.2</f>
        <v>184570.284</v>
      </c>
      <c r="K35" s="18"/>
      <c r="L35" s="19"/>
      <c r="M35" s="18"/>
      <c r="N35" s="12"/>
    </row>
    <row r="36" spans="1:14" s="6" customFormat="1" ht="18" customHeight="1">
      <c r="A36" s="77" t="s">
        <v>61</v>
      </c>
      <c r="B36" s="78"/>
      <c r="C36" s="78"/>
      <c r="D36" s="78"/>
      <c r="E36" s="78"/>
      <c r="F36" s="78"/>
      <c r="G36" s="78"/>
      <c r="H36" s="78"/>
      <c r="I36" s="78"/>
      <c r="J36" s="78"/>
      <c r="K36" s="18"/>
      <c r="L36" s="19"/>
      <c r="M36" s="18"/>
      <c r="N36" s="12"/>
    </row>
    <row r="37" spans="1:14" s="6" customFormat="1" ht="178.5">
      <c r="A37" s="50">
        <v>15</v>
      </c>
      <c r="B37" s="50" t="s">
        <v>62</v>
      </c>
      <c r="C37" s="51" t="s">
        <v>63</v>
      </c>
      <c r="D37" s="51" t="s">
        <v>31</v>
      </c>
      <c r="E37" s="52">
        <v>0.4097</v>
      </c>
      <c r="F37" s="51">
        <f>(28813.11-4027.16)*1.2</f>
        <v>29743.14</v>
      </c>
      <c r="G37" s="51">
        <f>4027.16*1.2</f>
        <v>4832.592</v>
      </c>
      <c r="H37" s="51">
        <f>11804.73*1.2</f>
        <v>14165.676</v>
      </c>
      <c r="I37" s="51">
        <f>(11804.73-1649.93)*1.2</f>
        <v>12185.759999999998</v>
      </c>
      <c r="J37" s="51">
        <f>1649.93*1.2</f>
        <v>1979.916</v>
      </c>
      <c r="K37" s="18"/>
      <c r="L37" s="19"/>
      <c r="M37" s="18"/>
      <c r="N37" s="12"/>
    </row>
    <row r="38" spans="1:14" s="6" customFormat="1" ht="204">
      <c r="A38" s="50">
        <v>16</v>
      </c>
      <c r="B38" s="50" t="s">
        <v>32</v>
      </c>
      <c r="C38" s="51" t="s">
        <v>64</v>
      </c>
      <c r="D38" s="51" t="s">
        <v>31</v>
      </c>
      <c r="E38" s="52">
        <v>0.4097</v>
      </c>
      <c r="F38" s="51">
        <f>(3085.87-328.61)*1.2</f>
        <v>3308.7119999999995</v>
      </c>
      <c r="G38" s="51">
        <f>328.61*1.2</f>
        <v>394.332</v>
      </c>
      <c r="H38" s="51">
        <f>1264.28*1.2</f>
        <v>1517.136</v>
      </c>
      <c r="I38" s="51">
        <f>(1264.28-134.63)*1.2</f>
        <v>1355.5800000000002</v>
      </c>
      <c r="J38" s="51">
        <f>134.63*1.2</f>
        <v>161.55599999999998</v>
      </c>
      <c r="K38" s="18"/>
      <c r="L38" s="19"/>
      <c r="M38" s="18"/>
      <c r="N38" s="12"/>
    </row>
    <row r="39" spans="1:14" s="6" customFormat="1" ht="178.5">
      <c r="A39" s="50">
        <v>17</v>
      </c>
      <c r="B39" s="50" t="s">
        <v>65</v>
      </c>
      <c r="C39" s="51" t="s">
        <v>66</v>
      </c>
      <c r="D39" s="51" t="s">
        <v>31</v>
      </c>
      <c r="E39" s="52">
        <v>1</v>
      </c>
      <c r="F39" s="51">
        <f>(29594.56-691.75)*1.2</f>
        <v>34683.372</v>
      </c>
      <c r="G39" s="51">
        <f>691.75*1.2</f>
        <v>830.1</v>
      </c>
      <c r="H39" s="51">
        <f>29594.56*1.2</f>
        <v>35513.472</v>
      </c>
      <c r="I39" s="51">
        <f>(29594.56-691.75)*1.2</f>
        <v>34683.372</v>
      </c>
      <c r="J39" s="51">
        <f>691.75*1.2</f>
        <v>830.1</v>
      </c>
      <c r="K39" s="18"/>
      <c r="L39" s="19"/>
      <c r="M39" s="18"/>
      <c r="N39" s="12"/>
    </row>
    <row r="40" spans="1:14" s="6" customFormat="1" ht="165.75">
      <c r="A40" s="50">
        <v>18</v>
      </c>
      <c r="B40" s="50" t="s">
        <v>67</v>
      </c>
      <c r="C40" s="51" t="s">
        <v>68</v>
      </c>
      <c r="D40" s="51" t="s">
        <v>31</v>
      </c>
      <c r="E40" s="52">
        <v>32.3497</v>
      </c>
      <c r="F40" s="51">
        <f>(9451.14-9.57)*1.2</f>
        <v>11329.884</v>
      </c>
      <c r="G40" s="51">
        <f>9.57*1.2</f>
        <v>11.484</v>
      </c>
      <c r="H40" s="51">
        <f>305741.42*1.2</f>
        <v>366889.70399999997</v>
      </c>
      <c r="I40" s="51">
        <f>(305741.42-309.58)*1.2</f>
        <v>366518.2079999999</v>
      </c>
      <c r="J40" s="51">
        <f>309.58*1.2</f>
        <v>371.496</v>
      </c>
      <c r="K40" s="18"/>
      <c r="L40" s="19"/>
      <c r="M40" s="18"/>
      <c r="N40" s="12"/>
    </row>
    <row r="41" spans="1:14" s="6" customFormat="1" ht="12.75">
      <c r="A41" s="50">
        <v>19</v>
      </c>
      <c r="B41" s="50" t="s">
        <v>48</v>
      </c>
      <c r="C41" s="51" t="s">
        <v>49</v>
      </c>
      <c r="D41" s="51" t="s">
        <v>41</v>
      </c>
      <c r="E41" s="52">
        <v>27500</v>
      </c>
      <c r="F41" s="51">
        <f>(11.79-11.79)*1.2</f>
        <v>0</v>
      </c>
      <c r="G41" s="51">
        <f>11.79*1.2</f>
        <v>14.147999999999998</v>
      </c>
      <c r="H41" s="51">
        <f>324225*1.2</f>
        <v>389070</v>
      </c>
      <c r="I41" s="51">
        <f>(324225-324225)*1.2</f>
        <v>0</v>
      </c>
      <c r="J41" s="51">
        <f>324225*1.2</f>
        <v>389070</v>
      </c>
      <c r="K41" s="18"/>
      <c r="L41" s="19"/>
      <c r="M41" s="18"/>
      <c r="N41" s="12"/>
    </row>
    <row r="42" spans="1:14" s="6" customFormat="1" ht="12.75">
      <c r="A42" s="50">
        <v>20</v>
      </c>
      <c r="B42" s="50" t="s">
        <v>50</v>
      </c>
      <c r="C42" s="51" t="s">
        <v>51</v>
      </c>
      <c r="D42" s="51" t="s">
        <v>38</v>
      </c>
      <c r="E42" s="52">
        <v>0.42055</v>
      </c>
      <c r="F42" s="51">
        <f>(29376.03-29376.02)*1.2</f>
        <v>0.011999999998079146</v>
      </c>
      <c r="G42" s="51">
        <f>29376.02*1.2</f>
        <v>35251.224</v>
      </c>
      <c r="H42" s="51">
        <f>12354.09*1.2</f>
        <v>14824.908</v>
      </c>
      <c r="I42" s="51">
        <f>(12354.09-12354.09)*1.2</f>
        <v>0</v>
      </c>
      <c r="J42" s="51">
        <f>12354.09*1.2</f>
        <v>14824.908</v>
      </c>
      <c r="K42" s="18"/>
      <c r="L42" s="19"/>
      <c r="M42" s="18"/>
      <c r="N42" s="12"/>
    </row>
    <row r="43" spans="1:14" s="6" customFormat="1" ht="216.75">
      <c r="A43" s="50">
        <v>21</v>
      </c>
      <c r="B43" s="50" t="s">
        <v>69</v>
      </c>
      <c r="C43" s="51" t="s">
        <v>70</v>
      </c>
      <c r="D43" s="51" t="s">
        <v>31</v>
      </c>
      <c r="E43" s="52">
        <v>6.143</v>
      </c>
      <c r="F43" s="51">
        <f>(48791.91-32.4)*1.2</f>
        <v>58511.412000000004</v>
      </c>
      <c r="G43" s="51">
        <f>32.4*1.2</f>
        <v>38.879999999999995</v>
      </c>
      <c r="H43" s="51">
        <f>299728.71*1.2</f>
        <v>359674.452</v>
      </c>
      <c r="I43" s="51">
        <f>(299728.71-199.03)*1.2</f>
        <v>359435.616</v>
      </c>
      <c r="J43" s="51">
        <f>199.03*1.2</f>
        <v>238.83599999999998</v>
      </c>
      <c r="K43" s="18"/>
      <c r="L43" s="19"/>
      <c r="M43" s="18"/>
      <c r="N43" s="12"/>
    </row>
    <row r="44" spans="1:14" s="6" customFormat="1" ht="12.75">
      <c r="A44" s="50">
        <v>22</v>
      </c>
      <c r="B44" s="50" t="s">
        <v>71</v>
      </c>
      <c r="C44" s="51" t="s">
        <v>72</v>
      </c>
      <c r="D44" s="51" t="s">
        <v>38</v>
      </c>
      <c r="E44" s="52">
        <v>0.3072</v>
      </c>
      <c r="F44" s="51">
        <f>(34360.9-34360.89)*1.2</f>
        <v>0.012000000002444722</v>
      </c>
      <c r="G44" s="51">
        <f>34360.89*1.2</f>
        <v>41233.068</v>
      </c>
      <c r="H44" s="51">
        <f>10555.67*1.2</f>
        <v>12666.804</v>
      </c>
      <c r="I44" s="51">
        <f>(10555.67-10555.67)*1.2</f>
        <v>0</v>
      </c>
      <c r="J44" s="51">
        <f>10555.67*1.2</f>
        <v>12666.804</v>
      </c>
      <c r="K44" s="18"/>
      <c r="L44" s="19"/>
      <c r="M44" s="18"/>
      <c r="N44" s="12"/>
    </row>
    <row r="45" spans="1:14" s="6" customFormat="1" ht="25.5">
      <c r="A45" s="50">
        <v>23</v>
      </c>
      <c r="B45" s="50" t="s">
        <v>73</v>
      </c>
      <c r="C45" s="51" t="s">
        <v>74</v>
      </c>
      <c r="D45" s="51" t="s">
        <v>60</v>
      </c>
      <c r="E45" s="52">
        <v>614.3</v>
      </c>
      <c r="F45" s="51">
        <f>(168.03-168.03)*1.2</f>
        <v>0</v>
      </c>
      <c r="G45" s="51">
        <f>168.03*1.2</f>
        <v>201.636</v>
      </c>
      <c r="H45" s="51">
        <f>103220.83*1.2</f>
        <v>123864.996</v>
      </c>
      <c r="I45" s="51">
        <f>(103220.83-103220.83)*1.2</f>
        <v>0</v>
      </c>
      <c r="J45" s="51">
        <f>103220.83*1.2</f>
        <v>123864.996</v>
      </c>
      <c r="K45" s="18"/>
      <c r="L45" s="19"/>
      <c r="M45" s="18"/>
      <c r="N45" s="12"/>
    </row>
    <row r="46" spans="1:14" s="6" customFormat="1" ht="12.75">
      <c r="A46" s="50">
        <v>24</v>
      </c>
      <c r="B46" s="50" t="s">
        <v>75</v>
      </c>
      <c r="C46" s="51" t="s">
        <v>76</v>
      </c>
      <c r="D46" s="51" t="s">
        <v>38</v>
      </c>
      <c r="E46" s="52">
        <v>2.304</v>
      </c>
      <c r="F46" s="51">
        <f>(27633.58-27633.58)*1.2</f>
        <v>0</v>
      </c>
      <c r="G46" s="51">
        <f>27633.58*1.2</f>
        <v>33160.296</v>
      </c>
      <c r="H46" s="51">
        <f>63667.77*1.2</f>
        <v>76401.324</v>
      </c>
      <c r="I46" s="51">
        <f>(63667.77-63667.77)*1.2</f>
        <v>0</v>
      </c>
      <c r="J46" s="51">
        <f>63667.77*1.2</f>
        <v>76401.324</v>
      </c>
      <c r="K46" s="18"/>
      <c r="L46" s="19"/>
      <c r="M46" s="18"/>
      <c r="N46" s="12"/>
    </row>
    <row r="47" spans="1:14" s="6" customFormat="1" ht="191.25">
      <c r="A47" s="50">
        <v>25</v>
      </c>
      <c r="B47" s="50" t="s">
        <v>77</v>
      </c>
      <c r="C47" s="51" t="s">
        <v>78</v>
      </c>
      <c r="D47" s="51" t="s">
        <v>31</v>
      </c>
      <c r="E47" s="52">
        <v>0.3211</v>
      </c>
      <c r="F47" s="51">
        <f>(152482.96-50378.79)*1.2</f>
        <v>122525.00399999997</v>
      </c>
      <c r="G47" s="51">
        <f>50378.79*1.2</f>
        <v>60454.547999999995</v>
      </c>
      <c r="H47" s="51">
        <f>48962.28*1.2</f>
        <v>58754.736</v>
      </c>
      <c r="I47" s="51">
        <f>(48962.28-16176.63)*1.2</f>
        <v>39342.78</v>
      </c>
      <c r="J47" s="51">
        <f>16176.63*1.2</f>
        <v>19411.956</v>
      </c>
      <c r="K47" s="18"/>
      <c r="L47" s="19"/>
      <c r="M47" s="18"/>
      <c r="N47" s="12"/>
    </row>
    <row r="48" spans="1:14" s="6" customFormat="1" ht="12.75">
      <c r="A48" s="50">
        <v>26</v>
      </c>
      <c r="B48" s="50" t="s">
        <v>79</v>
      </c>
      <c r="C48" s="51" t="s">
        <v>80</v>
      </c>
      <c r="D48" s="51" t="s">
        <v>81</v>
      </c>
      <c r="E48" s="52">
        <v>0.0032</v>
      </c>
      <c r="F48" s="51">
        <f>(5240.63-5241.16)*1.2</f>
        <v>-0.6359999999996944</v>
      </c>
      <c r="G48" s="51">
        <f>5241.16*1.2</f>
        <v>6289.392</v>
      </c>
      <c r="H48" s="51">
        <f>16.77*1.2</f>
        <v>20.124</v>
      </c>
      <c r="I48" s="51">
        <f>(16.77-16.77)*1.2</f>
        <v>0</v>
      </c>
      <c r="J48" s="51">
        <f>16.77*1.2</f>
        <v>20.124</v>
      </c>
      <c r="K48" s="18"/>
      <c r="L48" s="19"/>
      <c r="M48" s="18"/>
      <c r="N48" s="12"/>
    </row>
    <row r="49" spans="1:14" s="6" customFormat="1" ht="12.75">
      <c r="A49" s="50">
        <v>27</v>
      </c>
      <c r="B49" s="50" t="s">
        <v>50</v>
      </c>
      <c r="C49" s="51" t="s">
        <v>51</v>
      </c>
      <c r="D49" s="51" t="s">
        <v>38</v>
      </c>
      <c r="E49" s="52">
        <v>0.00417</v>
      </c>
      <c r="F49" s="51">
        <f>(29376.5-29376.02)*1.2</f>
        <v>0.5759999999994762</v>
      </c>
      <c r="G49" s="51">
        <f>29376.02*1.2</f>
        <v>35251.224</v>
      </c>
      <c r="H49" s="51">
        <f>122.5*1.2</f>
        <v>147</v>
      </c>
      <c r="I49" s="51">
        <f>(122.5-122.5)*1.2</f>
        <v>0</v>
      </c>
      <c r="J49" s="51">
        <f>122.5*1.2</f>
        <v>147</v>
      </c>
      <c r="K49" s="18"/>
      <c r="L49" s="19"/>
      <c r="M49" s="18"/>
      <c r="N49" s="12"/>
    </row>
    <row r="50" spans="1:14" s="6" customFormat="1" ht="204">
      <c r="A50" s="50">
        <v>28</v>
      </c>
      <c r="B50" s="50" t="s">
        <v>82</v>
      </c>
      <c r="C50" s="51" t="s">
        <v>83</v>
      </c>
      <c r="D50" s="51" t="s">
        <v>31</v>
      </c>
      <c r="E50" s="52">
        <v>17.5006</v>
      </c>
      <c r="F50" s="51">
        <f>(14082.1-1452.4)*1.2</f>
        <v>15155.64</v>
      </c>
      <c r="G50" s="51">
        <f>1452.4*1.2</f>
        <v>1742.88</v>
      </c>
      <c r="H50" s="51">
        <f>246445.26*1.2</f>
        <v>295734.312</v>
      </c>
      <c r="I50" s="51">
        <f>(246445.26-25417.87)*1.2</f>
        <v>265232.868</v>
      </c>
      <c r="J50" s="51">
        <f>25417.87*1.2</f>
        <v>30501.443999999996</v>
      </c>
      <c r="K50" s="18"/>
      <c r="L50" s="19"/>
      <c r="M50" s="18"/>
      <c r="N50" s="12"/>
    </row>
    <row r="51" spans="1:14" s="6" customFormat="1" ht="12.75">
      <c r="A51" s="50">
        <v>29</v>
      </c>
      <c r="B51" s="50" t="s">
        <v>36</v>
      </c>
      <c r="C51" s="51" t="s">
        <v>37</v>
      </c>
      <c r="D51" s="51" t="s">
        <v>38</v>
      </c>
      <c r="E51" s="52">
        <v>0.525</v>
      </c>
      <c r="F51" s="51">
        <f>(26414.55-26414.55)*1.2</f>
        <v>0</v>
      </c>
      <c r="G51" s="51">
        <f>26414.55*1.2</f>
        <v>31697.46</v>
      </c>
      <c r="H51" s="51">
        <f>13867.64*1.2</f>
        <v>16641.167999999998</v>
      </c>
      <c r="I51" s="51">
        <f>(13867.64-13867.64)*1.2</f>
        <v>0</v>
      </c>
      <c r="J51" s="51">
        <f>13867.64*1.2</f>
        <v>16641.167999999998</v>
      </c>
      <c r="K51" s="18"/>
      <c r="L51" s="19"/>
      <c r="M51" s="18"/>
      <c r="N51" s="12"/>
    </row>
    <row r="52" spans="1:14" s="6" customFormat="1" ht="12.75">
      <c r="A52" s="50">
        <v>30</v>
      </c>
      <c r="B52" s="50" t="s">
        <v>39</v>
      </c>
      <c r="C52" s="51" t="s">
        <v>40</v>
      </c>
      <c r="D52" s="51" t="s">
        <v>41</v>
      </c>
      <c r="E52" s="52">
        <v>350</v>
      </c>
      <c r="F52" s="51">
        <f>(42.04-42.04)*1.2</f>
        <v>0</v>
      </c>
      <c r="G52" s="51">
        <f>42.04*1.2</f>
        <v>50.448</v>
      </c>
      <c r="H52" s="51">
        <f>14714*1.2</f>
        <v>17656.8</v>
      </c>
      <c r="I52" s="51">
        <f>(14714-14714)*1.2</f>
        <v>0</v>
      </c>
      <c r="J52" s="51">
        <f>14714*1.2</f>
        <v>17656.8</v>
      </c>
      <c r="K52" s="18"/>
      <c r="L52" s="19"/>
      <c r="M52" s="18"/>
      <c r="N52" s="12"/>
    </row>
    <row r="53" spans="1:14" s="6" customFormat="1" ht="153">
      <c r="A53" s="50">
        <v>31</v>
      </c>
      <c r="B53" s="50" t="s">
        <v>84</v>
      </c>
      <c r="C53" s="51" t="s">
        <v>85</v>
      </c>
      <c r="D53" s="51" t="s">
        <v>31</v>
      </c>
      <c r="E53" s="52">
        <v>14.8491</v>
      </c>
      <c r="F53" s="51">
        <f>(13406.97-662.82)*1.2</f>
        <v>15292.98</v>
      </c>
      <c r="G53" s="51">
        <f>662.82*1.2</f>
        <v>795.384</v>
      </c>
      <c r="H53" s="51">
        <f>199081.4*1.2</f>
        <v>238897.68</v>
      </c>
      <c r="I53" s="51">
        <f>(199081.4-9842.29)*1.2</f>
        <v>227086.93199999997</v>
      </c>
      <c r="J53" s="51">
        <f>9842.29*1.2</f>
        <v>11810.748000000001</v>
      </c>
      <c r="K53" s="18"/>
      <c r="L53" s="19"/>
      <c r="M53" s="18"/>
      <c r="N53" s="12"/>
    </row>
    <row r="54" spans="1:14" s="6" customFormat="1" ht="12.75">
      <c r="A54" s="53">
        <v>32</v>
      </c>
      <c r="B54" s="53" t="s">
        <v>54</v>
      </c>
      <c r="C54" s="54" t="s">
        <v>55</v>
      </c>
      <c r="D54" s="54" t="s">
        <v>38</v>
      </c>
      <c r="E54" s="55">
        <v>0.9355</v>
      </c>
      <c r="F54" s="54">
        <f>(46584.44-46584.44)*1.2</f>
        <v>0</v>
      </c>
      <c r="G54" s="54">
        <f>46584.44*1.2</f>
        <v>55901.328</v>
      </c>
      <c r="H54" s="54">
        <f>43579.74*1.2</f>
        <v>52295.687999999995</v>
      </c>
      <c r="I54" s="54">
        <f>(43579.74-43579.74)*1.2</f>
        <v>0</v>
      </c>
      <c r="J54" s="54">
        <f>43579.74*1.2</f>
        <v>52295.687999999995</v>
      </c>
      <c r="K54" s="18"/>
      <c r="L54" s="19"/>
      <c r="M54" s="18"/>
      <c r="N54" s="12"/>
    </row>
    <row r="55" spans="1:14" s="6" customFormat="1" ht="18.75" customHeight="1">
      <c r="A55" s="79" t="s">
        <v>86</v>
      </c>
      <c r="B55" s="80"/>
      <c r="C55" s="80"/>
      <c r="D55" s="80"/>
      <c r="E55" s="80"/>
      <c r="F55" s="80"/>
      <c r="G55" s="80"/>
      <c r="H55" s="80"/>
      <c r="I55" s="80"/>
      <c r="J55" s="80"/>
      <c r="K55" s="18"/>
      <c r="L55" s="19"/>
      <c r="M55" s="18"/>
      <c r="N55" s="12"/>
    </row>
    <row r="56" spans="1:14" s="6" customFormat="1" ht="18" customHeight="1">
      <c r="A56" s="77" t="s">
        <v>28</v>
      </c>
      <c r="B56" s="78"/>
      <c r="C56" s="78"/>
      <c r="D56" s="78"/>
      <c r="E56" s="78"/>
      <c r="F56" s="78"/>
      <c r="G56" s="78"/>
      <c r="H56" s="78"/>
      <c r="I56" s="78"/>
      <c r="J56" s="78"/>
      <c r="K56" s="18"/>
      <c r="L56" s="19"/>
      <c r="M56" s="18"/>
      <c r="N56" s="12"/>
    </row>
    <row r="57" spans="1:14" s="6" customFormat="1" ht="140.25">
      <c r="A57" s="50">
        <v>33</v>
      </c>
      <c r="B57" s="50" t="s">
        <v>29</v>
      </c>
      <c r="C57" s="51" t="s">
        <v>87</v>
      </c>
      <c r="D57" s="51" t="s">
        <v>31</v>
      </c>
      <c r="E57" s="52">
        <v>11.2615</v>
      </c>
      <c r="F57" s="51">
        <f>(16755.7-1702.95)*1.2</f>
        <v>18063.3</v>
      </c>
      <c r="G57" s="51">
        <f>1702.95*1.2</f>
        <v>2043.54</v>
      </c>
      <c r="H57" s="51">
        <f>188694.33*1.2</f>
        <v>226433.19599999997</v>
      </c>
      <c r="I57" s="51">
        <f>(188694.33-19177.77)*1.2</f>
        <v>203419.872</v>
      </c>
      <c r="J57" s="51">
        <f>19177.77*1.2</f>
        <v>23013.324</v>
      </c>
      <c r="K57" s="18"/>
      <c r="L57" s="19"/>
      <c r="M57" s="18"/>
      <c r="N57" s="12"/>
    </row>
    <row r="58" spans="1:14" s="6" customFormat="1" ht="178.5">
      <c r="A58" s="50">
        <v>34</v>
      </c>
      <c r="B58" s="50" t="s">
        <v>88</v>
      </c>
      <c r="C58" s="51" t="s">
        <v>89</v>
      </c>
      <c r="D58" s="51" t="s">
        <v>31</v>
      </c>
      <c r="E58" s="52">
        <v>0.5275</v>
      </c>
      <c r="F58" s="51">
        <f>(34609-5347.75)*1.2</f>
        <v>35113.5</v>
      </c>
      <c r="G58" s="51">
        <f>5347.75*1.2</f>
        <v>6417.3</v>
      </c>
      <c r="H58" s="51">
        <f>18256.25*1.2</f>
        <v>21907.5</v>
      </c>
      <c r="I58" s="51">
        <f>(18256.25-2820.94)*1.2</f>
        <v>18522.372</v>
      </c>
      <c r="J58" s="51">
        <f>2820.94*1.2</f>
        <v>3385.128</v>
      </c>
      <c r="K58" s="18"/>
      <c r="L58" s="19"/>
      <c r="M58" s="18"/>
      <c r="N58" s="12"/>
    </row>
    <row r="59" spans="1:14" s="6" customFormat="1" ht="204">
      <c r="A59" s="50">
        <v>35</v>
      </c>
      <c r="B59" s="50" t="s">
        <v>32</v>
      </c>
      <c r="C59" s="51" t="s">
        <v>90</v>
      </c>
      <c r="D59" s="51" t="s">
        <v>31</v>
      </c>
      <c r="E59" s="52">
        <v>1.0152</v>
      </c>
      <c r="F59" s="51">
        <f>(3085.86-328.61)*1.2</f>
        <v>3308.7</v>
      </c>
      <c r="G59" s="51">
        <f>328.61*1.2</f>
        <v>394.332</v>
      </c>
      <c r="H59" s="51">
        <f>3132.77*1.2</f>
        <v>3759.3239999999996</v>
      </c>
      <c r="I59" s="51">
        <f>(3132.77-333.6)*1.2</f>
        <v>3359.004</v>
      </c>
      <c r="J59" s="51">
        <f>333.6*1.2</f>
        <v>400.32</v>
      </c>
      <c r="K59" s="18"/>
      <c r="L59" s="19"/>
      <c r="M59" s="18"/>
      <c r="N59" s="12"/>
    </row>
    <row r="60" spans="1:14" s="6" customFormat="1" ht="204">
      <c r="A60" s="50">
        <v>36</v>
      </c>
      <c r="B60" s="50" t="s">
        <v>34</v>
      </c>
      <c r="C60" s="51" t="s">
        <v>91</v>
      </c>
      <c r="D60" s="51" t="s">
        <v>31</v>
      </c>
      <c r="E60" s="52">
        <v>7.2124</v>
      </c>
      <c r="F60" s="51">
        <f>(19782.96-1557.73)*1.2</f>
        <v>21870.275999999998</v>
      </c>
      <c r="G60" s="51">
        <f>1557.73*1.2</f>
        <v>1869.2759999999998</v>
      </c>
      <c r="H60" s="51">
        <f>142682.61*1.2</f>
        <v>171219.13199999998</v>
      </c>
      <c r="I60" s="51">
        <f>(142682.61-11234.96)*1.2</f>
        <v>157737.18</v>
      </c>
      <c r="J60" s="51">
        <f>11234.96*1.2</f>
        <v>13481.952</v>
      </c>
      <c r="K60" s="18"/>
      <c r="L60" s="19"/>
      <c r="M60" s="18"/>
      <c r="N60" s="12"/>
    </row>
    <row r="61" spans="1:14" s="6" customFormat="1" ht="12.75">
      <c r="A61" s="50">
        <v>37</v>
      </c>
      <c r="B61" s="50" t="s">
        <v>36</v>
      </c>
      <c r="C61" s="51" t="s">
        <v>37</v>
      </c>
      <c r="D61" s="51" t="s">
        <v>38</v>
      </c>
      <c r="E61" s="52">
        <v>0.238</v>
      </c>
      <c r="F61" s="51">
        <f>(26414.54-26414.55)*1.2</f>
        <v>-0.011999999998079146</v>
      </c>
      <c r="G61" s="51">
        <f>26414.55*1.2</f>
        <v>31697.46</v>
      </c>
      <c r="H61" s="51">
        <f>6286.66*1.2</f>
        <v>7543.991999999999</v>
      </c>
      <c r="I61" s="51">
        <f>(6286.66-6286.66)*1.2</f>
        <v>0</v>
      </c>
      <c r="J61" s="51">
        <f>6286.66*1.2</f>
        <v>7543.991999999999</v>
      </c>
      <c r="K61" s="18"/>
      <c r="L61" s="19"/>
      <c r="M61" s="18"/>
      <c r="N61" s="12"/>
    </row>
    <row r="62" spans="1:14" s="6" customFormat="1" ht="12.75">
      <c r="A62" s="50">
        <v>38</v>
      </c>
      <c r="B62" s="50" t="s">
        <v>39</v>
      </c>
      <c r="C62" s="51" t="s">
        <v>40</v>
      </c>
      <c r="D62" s="51" t="s">
        <v>41</v>
      </c>
      <c r="E62" s="52">
        <v>158.7</v>
      </c>
      <c r="F62" s="51">
        <f>(42.04-42.04)*1.2</f>
        <v>0</v>
      </c>
      <c r="G62" s="51">
        <f>42.04*1.2</f>
        <v>50.448</v>
      </c>
      <c r="H62" s="51">
        <f>6671.75*1.2</f>
        <v>8006.099999999999</v>
      </c>
      <c r="I62" s="51">
        <f>(6671.75-6671.75)*1.2</f>
        <v>0</v>
      </c>
      <c r="J62" s="51">
        <f>6671.75*1.2</f>
        <v>8006.099999999999</v>
      </c>
      <c r="K62" s="18"/>
      <c r="L62" s="19"/>
      <c r="M62" s="18"/>
      <c r="N62" s="12"/>
    </row>
    <row r="63" spans="1:14" s="6" customFormat="1" ht="318.75">
      <c r="A63" s="50">
        <v>39</v>
      </c>
      <c r="B63" s="50" t="s">
        <v>42</v>
      </c>
      <c r="C63" s="51" t="s">
        <v>92</v>
      </c>
      <c r="D63" s="51" t="s">
        <v>31</v>
      </c>
      <c r="E63" s="52">
        <v>1.1839</v>
      </c>
      <c r="F63" s="51">
        <f>(20369.25-1580.5)*1.2</f>
        <v>22546.5</v>
      </c>
      <c r="G63" s="51">
        <f>1580.5*1.2</f>
        <v>1896.6</v>
      </c>
      <c r="H63" s="51">
        <f>24115.15*1.2</f>
        <v>28938.18</v>
      </c>
      <c r="I63" s="51">
        <f>(24115.15-1871.15)*1.2</f>
        <v>26692.8</v>
      </c>
      <c r="J63" s="51">
        <f>1871.15*1.2</f>
        <v>2245.38</v>
      </c>
      <c r="K63" s="18"/>
      <c r="L63" s="19"/>
      <c r="M63" s="18"/>
      <c r="N63" s="12"/>
    </row>
    <row r="64" spans="1:14" s="6" customFormat="1" ht="12.75">
      <c r="A64" s="50">
        <v>40</v>
      </c>
      <c r="B64" s="50" t="s">
        <v>44</v>
      </c>
      <c r="C64" s="51" t="s">
        <v>45</v>
      </c>
      <c r="D64" s="51" t="s">
        <v>38</v>
      </c>
      <c r="E64" s="52">
        <v>0.0249</v>
      </c>
      <c r="F64" s="51">
        <f>(40917.27-40917.3)*1.2</f>
        <v>-0.036000000007334165</v>
      </c>
      <c r="G64" s="51">
        <f>40917.3*1.2</f>
        <v>49100.76</v>
      </c>
      <c r="H64" s="51">
        <f>1018.84*1.2</f>
        <v>1222.608</v>
      </c>
      <c r="I64" s="51">
        <f>(1018.84-1018.84)*1.2</f>
        <v>0</v>
      </c>
      <c r="J64" s="51">
        <f>1018.84*1.2</f>
        <v>1222.608</v>
      </c>
      <c r="K64" s="18"/>
      <c r="L64" s="19"/>
      <c r="M64" s="18"/>
      <c r="N64" s="12"/>
    </row>
    <row r="65" spans="1:14" s="6" customFormat="1" ht="153">
      <c r="A65" s="50">
        <v>41</v>
      </c>
      <c r="B65" s="50" t="s">
        <v>52</v>
      </c>
      <c r="C65" s="51" t="s">
        <v>93</v>
      </c>
      <c r="D65" s="51" t="s">
        <v>31</v>
      </c>
      <c r="E65" s="52">
        <v>2.3775</v>
      </c>
      <c r="F65" s="51">
        <f>(16697.33-706.23)*1.2</f>
        <v>19189.320000000003</v>
      </c>
      <c r="G65" s="51">
        <f>706.23*1.2</f>
        <v>847.476</v>
      </c>
      <c r="H65" s="51">
        <f>39697.91*1.2</f>
        <v>47637.492000000006</v>
      </c>
      <c r="I65" s="51">
        <f>(39697.91-1679.07)*1.2</f>
        <v>45622.608</v>
      </c>
      <c r="J65" s="51">
        <f>1679.07*1.2</f>
        <v>2014.8839999999998</v>
      </c>
      <c r="K65" s="18"/>
      <c r="L65" s="19"/>
      <c r="M65" s="18"/>
      <c r="N65" s="12"/>
    </row>
    <row r="66" spans="1:14" s="6" customFormat="1" ht="12.75">
      <c r="A66" s="50">
        <v>42</v>
      </c>
      <c r="B66" s="50" t="s">
        <v>54</v>
      </c>
      <c r="C66" s="51" t="s">
        <v>55</v>
      </c>
      <c r="D66" s="51" t="s">
        <v>38</v>
      </c>
      <c r="E66" s="52">
        <v>0.164</v>
      </c>
      <c r="F66" s="51">
        <f>(46584.45-46584.44)*1.2</f>
        <v>0.011999999993713572</v>
      </c>
      <c r="G66" s="51">
        <f>46584.44*1.2</f>
        <v>55901.328</v>
      </c>
      <c r="H66" s="51">
        <f>7639.85*1.2</f>
        <v>9167.82</v>
      </c>
      <c r="I66" s="51">
        <f>(7639.85-7639.85)*1.2</f>
        <v>0</v>
      </c>
      <c r="J66" s="51">
        <f>7639.85*1.2</f>
        <v>9167.82</v>
      </c>
      <c r="K66" s="18"/>
      <c r="L66" s="19"/>
      <c r="M66" s="18"/>
      <c r="N66" s="12"/>
    </row>
    <row r="67" spans="1:14" s="6" customFormat="1" ht="153">
      <c r="A67" s="50">
        <v>43</v>
      </c>
      <c r="B67" s="50" t="s">
        <v>56</v>
      </c>
      <c r="C67" s="51" t="s">
        <v>94</v>
      </c>
      <c r="D67" s="51" t="s">
        <v>31</v>
      </c>
      <c r="E67" s="52">
        <v>1.5788</v>
      </c>
      <c r="F67" s="51">
        <f>(34975.36-0)*1.2</f>
        <v>41970.432</v>
      </c>
      <c r="G67" s="51">
        <f>0*1.2</f>
        <v>0</v>
      </c>
      <c r="H67" s="51">
        <f>55219.1*1.2</f>
        <v>66262.92</v>
      </c>
      <c r="I67" s="51">
        <f>(55219.1-0)*1.2</f>
        <v>66262.92</v>
      </c>
      <c r="J67" s="51">
        <f>0*1.2</f>
        <v>0</v>
      </c>
      <c r="K67" s="18"/>
      <c r="L67" s="19"/>
      <c r="M67" s="18"/>
      <c r="N67" s="12"/>
    </row>
    <row r="68" spans="1:14" s="6" customFormat="1" ht="12.75">
      <c r="A68" s="50">
        <v>44</v>
      </c>
      <c r="B68" s="50" t="s">
        <v>58</v>
      </c>
      <c r="C68" s="51" t="s">
        <v>59</v>
      </c>
      <c r="D68" s="51" t="s">
        <v>60</v>
      </c>
      <c r="E68" s="52">
        <v>162.6</v>
      </c>
      <c r="F68" s="51">
        <f>(330.7-330.7)*1.2</f>
        <v>0</v>
      </c>
      <c r="G68" s="51">
        <f>330.7*1.2</f>
        <v>396.84</v>
      </c>
      <c r="H68" s="51">
        <f>53771.82*1.2</f>
        <v>64526.183999999994</v>
      </c>
      <c r="I68" s="51">
        <f>(53771.82-53771.82)*1.2</f>
        <v>0</v>
      </c>
      <c r="J68" s="51">
        <f>53771.82*1.2</f>
        <v>64526.183999999994</v>
      </c>
      <c r="K68" s="18"/>
      <c r="L68" s="19"/>
      <c r="M68" s="18"/>
      <c r="N68" s="12"/>
    </row>
    <row r="69" spans="1:14" s="6" customFormat="1" ht="18" customHeight="1">
      <c r="A69" s="77" t="s">
        <v>61</v>
      </c>
      <c r="B69" s="78"/>
      <c r="C69" s="78"/>
      <c r="D69" s="78"/>
      <c r="E69" s="78"/>
      <c r="F69" s="78"/>
      <c r="G69" s="78"/>
      <c r="H69" s="78"/>
      <c r="I69" s="78"/>
      <c r="J69" s="78"/>
      <c r="K69" s="18"/>
      <c r="L69" s="19"/>
      <c r="M69" s="18"/>
      <c r="N69" s="12"/>
    </row>
    <row r="70" spans="1:14" s="6" customFormat="1" ht="178.5">
      <c r="A70" s="50">
        <v>45</v>
      </c>
      <c r="B70" s="50" t="s">
        <v>62</v>
      </c>
      <c r="C70" s="51" t="s">
        <v>95</v>
      </c>
      <c r="D70" s="51" t="s">
        <v>31</v>
      </c>
      <c r="E70" s="52">
        <v>1.5491</v>
      </c>
      <c r="F70" s="51">
        <f>(28813.1-4027.16)*1.2</f>
        <v>29743.127999999997</v>
      </c>
      <c r="G70" s="51">
        <f>4027.16*1.2</f>
        <v>4832.592</v>
      </c>
      <c r="H70" s="51">
        <f>44634.37*1.2</f>
        <v>53561.244</v>
      </c>
      <c r="I70" s="51">
        <f>(44634.37-6238.47)*1.2</f>
        <v>46075.08</v>
      </c>
      <c r="J70" s="51">
        <f>6238.47*1.2</f>
        <v>7486.164</v>
      </c>
      <c r="K70" s="18"/>
      <c r="L70" s="19"/>
      <c r="M70" s="18"/>
      <c r="N70" s="12"/>
    </row>
    <row r="71" spans="1:14" s="6" customFormat="1" ht="204">
      <c r="A71" s="50">
        <v>46</v>
      </c>
      <c r="B71" s="50" t="s">
        <v>32</v>
      </c>
      <c r="C71" s="51" t="s">
        <v>96</v>
      </c>
      <c r="D71" s="51" t="s">
        <v>31</v>
      </c>
      <c r="E71" s="52">
        <v>1.5491</v>
      </c>
      <c r="F71" s="51">
        <f>(3085.87-328.61)*1.2</f>
        <v>3308.7119999999995</v>
      </c>
      <c r="G71" s="51">
        <f>328.61*1.2</f>
        <v>394.332</v>
      </c>
      <c r="H71" s="51">
        <f>4780.32*1.2</f>
        <v>5736.383999999999</v>
      </c>
      <c r="I71" s="51">
        <f>(4780.32-509.05)*1.2</f>
        <v>5125.523999999999</v>
      </c>
      <c r="J71" s="51">
        <f>509.05*1.2</f>
        <v>610.86</v>
      </c>
      <c r="K71" s="18"/>
      <c r="L71" s="19"/>
      <c r="M71" s="18"/>
      <c r="N71" s="12"/>
    </row>
    <row r="72" spans="1:14" s="6" customFormat="1" ht="165.75">
      <c r="A72" s="50">
        <v>47</v>
      </c>
      <c r="B72" s="50" t="s">
        <v>67</v>
      </c>
      <c r="C72" s="51" t="s">
        <v>97</v>
      </c>
      <c r="D72" s="51" t="s">
        <v>31</v>
      </c>
      <c r="E72" s="52">
        <v>19.252</v>
      </c>
      <c r="F72" s="51">
        <f>(9451.14-9.57)*1.2</f>
        <v>11329.884</v>
      </c>
      <c r="G72" s="51">
        <f>9.57*1.2</f>
        <v>11.484</v>
      </c>
      <c r="H72" s="51">
        <f>181953.26*1.2</f>
        <v>218343.912</v>
      </c>
      <c r="I72" s="51">
        <f>(181953.26-184.24)*1.2</f>
        <v>218122.82400000002</v>
      </c>
      <c r="J72" s="51">
        <f>184.24*1.2</f>
        <v>221.088</v>
      </c>
      <c r="K72" s="18"/>
      <c r="L72" s="19"/>
      <c r="M72" s="18"/>
      <c r="N72" s="12"/>
    </row>
    <row r="73" spans="1:14" s="6" customFormat="1" ht="12.75">
      <c r="A73" s="50">
        <v>48</v>
      </c>
      <c r="B73" s="50" t="s">
        <v>48</v>
      </c>
      <c r="C73" s="51" t="s">
        <v>49</v>
      </c>
      <c r="D73" s="51" t="s">
        <v>41</v>
      </c>
      <c r="E73" s="52">
        <v>16360</v>
      </c>
      <c r="F73" s="51">
        <f>(11.79-11.79)*1.2</f>
        <v>0</v>
      </c>
      <c r="G73" s="51">
        <f>11.79*1.2</f>
        <v>14.147999999999998</v>
      </c>
      <c r="H73" s="51">
        <f>192884.4*1.2</f>
        <v>231461.28</v>
      </c>
      <c r="I73" s="51">
        <f>(192884.4-192884.4)*1.2</f>
        <v>0</v>
      </c>
      <c r="J73" s="51">
        <f>192884.4*1.2</f>
        <v>231461.28</v>
      </c>
      <c r="K73" s="18"/>
      <c r="L73" s="19"/>
      <c r="M73" s="18"/>
      <c r="N73" s="12"/>
    </row>
    <row r="74" spans="1:14" s="6" customFormat="1" ht="12.75">
      <c r="A74" s="50">
        <v>49</v>
      </c>
      <c r="B74" s="50" t="s">
        <v>50</v>
      </c>
      <c r="C74" s="51" t="s">
        <v>51</v>
      </c>
      <c r="D74" s="51" t="s">
        <v>38</v>
      </c>
      <c r="E74" s="52">
        <v>0.25028</v>
      </c>
      <c r="F74" s="51">
        <f>(29376.02-29376.02)*1.2</f>
        <v>0</v>
      </c>
      <c r="G74" s="51">
        <f>29376.02*1.2</f>
        <v>35251.224</v>
      </c>
      <c r="H74" s="51">
        <f>7352.23*1.2</f>
        <v>8822.676</v>
      </c>
      <c r="I74" s="51">
        <f>(7352.23-7352.23)*1.2</f>
        <v>0</v>
      </c>
      <c r="J74" s="51">
        <f>7352.23*1.2</f>
        <v>8822.676</v>
      </c>
      <c r="K74" s="18"/>
      <c r="L74" s="19"/>
      <c r="M74" s="18"/>
      <c r="N74" s="12"/>
    </row>
    <row r="75" spans="1:14" s="6" customFormat="1" ht="178.5">
      <c r="A75" s="50">
        <v>50</v>
      </c>
      <c r="B75" s="50" t="s">
        <v>65</v>
      </c>
      <c r="C75" s="51" t="s">
        <v>98</v>
      </c>
      <c r="D75" s="51" t="s">
        <v>31</v>
      </c>
      <c r="E75" s="52">
        <v>0.171</v>
      </c>
      <c r="F75" s="51">
        <f>(34143.86-5241.07)*1.2</f>
        <v>34683.348</v>
      </c>
      <c r="G75" s="51">
        <f>5241.07*1.2</f>
        <v>6289.284</v>
      </c>
      <c r="H75" s="51">
        <f>5838.6*1.2</f>
        <v>7006.320000000001</v>
      </c>
      <c r="I75" s="51">
        <f>(5838.6-896.22)*1.2</f>
        <v>5930.856</v>
      </c>
      <c r="J75" s="51">
        <f>896.22*1.2</f>
        <v>1075.464</v>
      </c>
      <c r="K75" s="18"/>
      <c r="L75" s="19"/>
      <c r="M75" s="18"/>
      <c r="N75" s="12"/>
    </row>
    <row r="76" spans="1:14" s="6" customFormat="1" ht="204">
      <c r="A76" s="50">
        <v>51</v>
      </c>
      <c r="B76" s="50" t="s">
        <v>82</v>
      </c>
      <c r="C76" s="51" t="s">
        <v>99</v>
      </c>
      <c r="D76" s="51" t="s">
        <v>31</v>
      </c>
      <c r="E76" s="52">
        <v>12.333</v>
      </c>
      <c r="F76" s="51">
        <f>(14082.1-1452.4)*1.2</f>
        <v>15155.64</v>
      </c>
      <c r="G76" s="51">
        <f>1452.4*1.2</f>
        <v>1742.88</v>
      </c>
      <c r="H76" s="51">
        <f>173674.58*1.2</f>
        <v>208409.49599999998</v>
      </c>
      <c r="I76" s="51">
        <f>(173674.58-17912.45)*1.2</f>
        <v>186914.55599999995</v>
      </c>
      <c r="J76" s="51">
        <f>17912.45*1.2</f>
        <v>21494.94</v>
      </c>
      <c r="K76" s="18"/>
      <c r="L76" s="19"/>
      <c r="M76" s="18"/>
      <c r="N76" s="12"/>
    </row>
    <row r="77" spans="1:14" s="6" customFormat="1" ht="153">
      <c r="A77" s="50">
        <v>52</v>
      </c>
      <c r="B77" s="50" t="s">
        <v>84</v>
      </c>
      <c r="C77" s="51" t="s">
        <v>100</v>
      </c>
      <c r="D77" s="51" t="s">
        <v>31</v>
      </c>
      <c r="E77" s="52">
        <v>7.0903</v>
      </c>
      <c r="F77" s="51">
        <f>(13406.97-662.82)*1.2</f>
        <v>15292.98</v>
      </c>
      <c r="G77" s="51">
        <f>662.82*1.2</f>
        <v>795.384</v>
      </c>
      <c r="H77" s="51">
        <f>95059.41*1.2</f>
        <v>114071.292</v>
      </c>
      <c r="I77" s="51">
        <f>(95059.41-4699.6)*1.2</f>
        <v>108431.772</v>
      </c>
      <c r="J77" s="51">
        <f>4699.6*1.2</f>
        <v>5639.52</v>
      </c>
      <c r="K77" s="18"/>
      <c r="L77" s="19"/>
      <c r="M77" s="18"/>
      <c r="N77" s="12"/>
    </row>
    <row r="78" spans="1:14" s="6" customFormat="1" ht="216.75">
      <c r="A78" s="50">
        <v>53</v>
      </c>
      <c r="B78" s="50" t="s">
        <v>69</v>
      </c>
      <c r="C78" s="51" t="s">
        <v>101</v>
      </c>
      <c r="D78" s="51" t="s">
        <v>31</v>
      </c>
      <c r="E78" s="52">
        <v>5.8426</v>
      </c>
      <c r="F78" s="51">
        <f>(48791.91-32.4)*1.2</f>
        <v>58511.412000000004</v>
      </c>
      <c r="G78" s="51">
        <f>32.4*1.2</f>
        <v>38.879999999999995</v>
      </c>
      <c r="H78" s="51">
        <f>285071.63*1.2</f>
        <v>342085.956</v>
      </c>
      <c r="I78" s="51">
        <f>(285071.63-189.3)*1.2</f>
        <v>341858.79600000003</v>
      </c>
      <c r="J78" s="51">
        <f>189.3*1.2</f>
        <v>227.16</v>
      </c>
      <c r="K78" s="18"/>
      <c r="L78" s="19"/>
      <c r="M78" s="18"/>
      <c r="N78" s="12"/>
    </row>
    <row r="79" spans="1:14" s="6" customFormat="1" ht="12.75">
      <c r="A79" s="50">
        <v>54</v>
      </c>
      <c r="B79" s="50" t="s">
        <v>71</v>
      </c>
      <c r="C79" s="51" t="s">
        <v>72</v>
      </c>
      <c r="D79" s="51" t="s">
        <v>38</v>
      </c>
      <c r="E79" s="52">
        <v>0.2921</v>
      </c>
      <c r="F79" s="51">
        <f>(34360.9-34360.89)*1.2</f>
        <v>0.012000000002444722</v>
      </c>
      <c r="G79" s="51">
        <f>34360.89*1.2</f>
        <v>41233.068</v>
      </c>
      <c r="H79" s="51">
        <f>10036.82*1.2</f>
        <v>12044.184</v>
      </c>
      <c r="I79" s="51">
        <f>(10036.82-10036.82)*1.2</f>
        <v>0</v>
      </c>
      <c r="J79" s="51">
        <f>10036.82*1.2</f>
        <v>12044.184</v>
      </c>
      <c r="K79" s="18"/>
      <c r="L79" s="19"/>
      <c r="M79" s="18"/>
      <c r="N79" s="12"/>
    </row>
    <row r="80" spans="1:14" s="6" customFormat="1" ht="25.5">
      <c r="A80" s="50">
        <v>55</v>
      </c>
      <c r="B80" s="50" t="s">
        <v>73</v>
      </c>
      <c r="C80" s="51" t="s">
        <v>74</v>
      </c>
      <c r="D80" s="51" t="s">
        <v>60</v>
      </c>
      <c r="E80" s="52">
        <v>584.3</v>
      </c>
      <c r="F80" s="51">
        <f>(168.03-168.03)*1.2</f>
        <v>0</v>
      </c>
      <c r="G80" s="51">
        <f>168.03*1.2</f>
        <v>201.636</v>
      </c>
      <c r="H80" s="51">
        <f>98179.93*1.2</f>
        <v>117815.91599999998</v>
      </c>
      <c r="I80" s="51">
        <f>(98179.93-98179.93)*1.2</f>
        <v>0</v>
      </c>
      <c r="J80" s="51">
        <f>98179.93*1.2</f>
        <v>117815.91599999998</v>
      </c>
      <c r="K80" s="18"/>
      <c r="L80" s="19"/>
      <c r="M80" s="18"/>
      <c r="N80" s="12"/>
    </row>
    <row r="81" spans="1:14" s="6" customFormat="1" ht="12.75">
      <c r="A81" s="53">
        <v>56</v>
      </c>
      <c r="B81" s="53" t="s">
        <v>75</v>
      </c>
      <c r="C81" s="54" t="s">
        <v>76</v>
      </c>
      <c r="D81" s="54" t="s">
        <v>38</v>
      </c>
      <c r="E81" s="55">
        <v>2.191</v>
      </c>
      <c r="F81" s="54">
        <f>(27633.58-27633.58)*1.2</f>
        <v>0</v>
      </c>
      <c r="G81" s="54">
        <f>27633.58*1.2</f>
        <v>33160.296</v>
      </c>
      <c r="H81" s="54">
        <f>60545.17*1.2</f>
        <v>72654.204</v>
      </c>
      <c r="I81" s="54">
        <f>(60545.17-60545.17)*1.2</f>
        <v>0</v>
      </c>
      <c r="J81" s="54">
        <f>60545.17*1.2</f>
        <v>72654.204</v>
      </c>
      <c r="K81" s="18"/>
      <c r="L81" s="19"/>
      <c r="M81" s="18"/>
      <c r="N81" s="12"/>
    </row>
    <row r="82" spans="1:14" s="6" customFormat="1" ht="18.75" customHeight="1">
      <c r="A82" s="79" t="s">
        <v>102</v>
      </c>
      <c r="B82" s="80"/>
      <c r="C82" s="80"/>
      <c r="D82" s="80"/>
      <c r="E82" s="80"/>
      <c r="F82" s="80"/>
      <c r="G82" s="80"/>
      <c r="H82" s="80"/>
      <c r="I82" s="80"/>
      <c r="J82" s="80"/>
      <c r="K82" s="18"/>
      <c r="L82" s="19"/>
      <c r="M82" s="18"/>
      <c r="N82" s="12"/>
    </row>
    <row r="83" spans="1:14" s="6" customFormat="1" ht="18" customHeight="1">
      <c r="A83" s="77" t="s">
        <v>103</v>
      </c>
      <c r="B83" s="78"/>
      <c r="C83" s="78"/>
      <c r="D83" s="78"/>
      <c r="E83" s="78"/>
      <c r="F83" s="78"/>
      <c r="G83" s="78"/>
      <c r="H83" s="78"/>
      <c r="I83" s="78"/>
      <c r="J83" s="78"/>
      <c r="K83" s="18"/>
      <c r="L83" s="19"/>
      <c r="M83" s="18"/>
      <c r="N83" s="12"/>
    </row>
    <row r="84" spans="1:14" s="6" customFormat="1" ht="318.75">
      <c r="A84" s="50">
        <v>57</v>
      </c>
      <c r="B84" s="50" t="s">
        <v>104</v>
      </c>
      <c r="C84" s="51" t="s">
        <v>105</v>
      </c>
      <c r="D84" s="51" t="s">
        <v>31</v>
      </c>
      <c r="E84" s="52">
        <v>2.4852</v>
      </c>
      <c r="F84" s="51">
        <f>(77918.45-30246.11)*1.2</f>
        <v>57206.808</v>
      </c>
      <c r="G84" s="51">
        <f>30246.11*1.2</f>
        <v>36295.332</v>
      </c>
      <c r="H84" s="51">
        <f>193642.92*1.2</f>
        <v>232371.50400000002</v>
      </c>
      <c r="I84" s="51">
        <f>(193642.92-75167.63)*1.2</f>
        <v>142170.348</v>
      </c>
      <c r="J84" s="51">
        <f>75167.63*1.2</f>
        <v>90201.156</v>
      </c>
      <c r="K84" s="18"/>
      <c r="L84" s="19"/>
      <c r="M84" s="18"/>
      <c r="N84" s="12"/>
    </row>
    <row r="85" spans="1:14" s="6" customFormat="1" ht="25.5">
      <c r="A85" s="50">
        <v>58</v>
      </c>
      <c r="B85" s="50" t="s">
        <v>106</v>
      </c>
      <c r="C85" s="51" t="s">
        <v>107</v>
      </c>
      <c r="D85" s="51" t="s">
        <v>60</v>
      </c>
      <c r="E85" s="52">
        <v>226.56</v>
      </c>
      <c r="F85" s="51">
        <f>(2882.26-2882.26)*1.2</f>
        <v>0</v>
      </c>
      <c r="G85" s="51">
        <f>2882.26*1.2</f>
        <v>3458.712</v>
      </c>
      <c r="H85" s="51">
        <f>653004.83*1.2</f>
        <v>783605.796</v>
      </c>
      <c r="I85" s="51">
        <f>(653004.83-653004.83)*1.2</f>
        <v>0</v>
      </c>
      <c r="J85" s="51">
        <f>653004.83*1.2</f>
        <v>783605.796</v>
      </c>
      <c r="K85" s="18"/>
      <c r="L85" s="19"/>
      <c r="M85" s="18"/>
      <c r="N85" s="12"/>
    </row>
    <row r="86" spans="1:14" s="6" customFormat="1" ht="25.5">
      <c r="A86" s="50">
        <v>59</v>
      </c>
      <c r="B86" s="50" t="s">
        <v>108</v>
      </c>
      <c r="C86" s="51" t="s">
        <v>109</v>
      </c>
      <c r="D86" s="51" t="s">
        <v>60</v>
      </c>
      <c r="E86" s="52">
        <v>21.96</v>
      </c>
      <c r="F86" s="51">
        <f>(2801.19-2801.19)*1.2</f>
        <v>0</v>
      </c>
      <c r="G86" s="51">
        <f>2801.19*1.2</f>
        <v>3361.428</v>
      </c>
      <c r="H86" s="51">
        <f>61514.13*1.2</f>
        <v>73816.95599999999</v>
      </c>
      <c r="I86" s="51">
        <f>(61514.13-61514.13)*1.2</f>
        <v>0</v>
      </c>
      <c r="J86" s="51">
        <f>61514.13*1.2</f>
        <v>73816.95599999999</v>
      </c>
      <c r="K86" s="18"/>
      <c r="L86" s="19"/>
      <c r="M86" s="18"/>
      <c r="N86" s="12"/>
    </row>
    <row r="87" spans="1:14" s="6" customFormat="1" ht="318.75">
      <c r="A87" s="50">
        <v>60</v>
      </c>
      <c r="B87" s="50" t="s">
        <v>110</v>
      </c>
      <c r="C87" s="51" t="s">
        <v>111</v>
      </c>
      <c r="D87" s="51" t="s">
        <v>31</v>
      </c>
      <c r="E87" s="52">
        <v>0.446706</v>
      </c>
      <c r="F87" s="51">
        <f>(101607.34-40557.34)*1.2</f>
        <v>73260</v>
      </c>
      <c r="G87" s="51">
        <f>40557.34*1.2</f>
        <v>48668.808</v>
      </c>
      <c r="H87" s="51">
        <f>45388.61*1.2</f>
        <v>54466.332</v>
      </c>
      <c r="I87" s="51">
        <f>(45388.61-18117.21)*1.2</f>
        <v>32725.68</v>
      </c>
      <c r="J87" s="51">
        <f>18117.21*1.2</f>
        <v>21740.652</v>
      </c>
      <c r="K87" s="18"/>
      <c r="L87" s="19"/>
      <c r="M87" s="18"/>
      <c r="N87" s="12"/>
    </row>
    <row r="88" spans="1:14" s="6" customFormat="1" ht="25.5">
      <c r="A88" s="50">
        <v>61</v>
      </c>
      <c r="B88" s="50" t="s">
        <v>112</v>
      </c>
      <c r="C88" s="51" t="s">
        <v>113</v>
      </c>
      <c r="D88" s="51" t="s">
        <v>60</v>
      </c>
      <c r="E88" s="52">
        <v>44.67</v>
      </c>
      <c r="F88" s="51">
        <f>(3238.58-3238.58)*1.2</f>
        <v>0</v>
      </c>
      <c r="G88" s="51">
        <f>3238.58*1.2</f>
        <v>3886.296</v>
      </c>
      <c r="H88" s="51">
        <f>144667.37*1.2</f>
        <v>173600.84399999998</v>
      </c>
      <c r="I88" s="51">
        <f>(144667.37-144667.37)*1.2</f>
        <v>0</v>
      </c>
      <c r="J88" s="51">
        <f>144667.37*1.2</f>
        <v>173600.84399999998</v>
      </c>
      <c r="K88" s="18"/>
      <c r="L88" s="19"/>
      <c r="M88" s="18"/>
      <c r="N88" s="12"/>
    </row>
    <row r="89" spans="1:14" s="6" customFormat="1" ht="318.75">
      <c r="A89" s="50">
        <v>62</v>
      </c>
      <c r="B89" s="50" t="s">
        <v>114</v>
      </c>
      <c r="C89" s="51" t="s">
        <v>115</v>
      </c>
      <c r="D89" s="51" t="s">
        <v>31</v>
      </c>
      <c r="E89" s="52">
        <v>0.2272</v>
      </c>
      <c r="F89" s="51">
        <f>(119654.49-49803.71)*1.2</f>
        <v>83820.936</v>
      </c>
      <c r="G89" s="51">
        <f>49803.71*1.2</f>
        <v>59764.452</v>
      </c>
      <c r="H89" s="51">
        <f>27185.5*1.2</f>
        <v>32622.6</v>
      </c>
      <c r="I89" s="51">
        <f>(27185.5-11315.41)*1.2</f>
        <v>19044.108</v>
      </c>
      <c r="J89" s="51">
        <f>11315.41*1.2</f>
        <v>13578.492</v>
      </c>
      <c r="K89" s="18"/>
      <c r="L89" s="19"/>
      <c r="M89" s="18"/>
      <c r="N89" s="12"/>
    </row>
    <row r="90" spans="1:14" s="6" customFormat="1" ht="25.5">
      <c r="A90" s="50">
        <v>63</v>
      </c>
      <c r="B90" s="50" t="s">
        <v>116</v>
      </c>
      <c r="C90" s="51" t="s">
        <v>117</v>
      </c>
      <c r="D90" s="51" t="s">
        <v>60</v>
      </c>
      <c r="E90" s="52">
        <v>22.72</v>
      </c>
      <c r="F90" s="51">
        <f>(3962.85-3962.85)*1.2</f>
        <v>0</v>
      </c>
      <c r="G90" s="51">
        <f>3962.85*1.2</f>
        <v>4755.42</v>
      </c>
      <c r="H90" s="51">
        <f>90035.95*1.2</f>
        <v>108043.14</v>
      </c>
      <c r="I90" s="51">
        <f>(90035.95-90035.95)*1.2</f>
        <v>0</v>
      </c>
      <c r="J90" s="51">
        <f>90035.95*1.2</f>
        <v>108043.14</v>
      </c>
      <c r="K90" s="18"/>
      <c r="L90" s="19"/>
      <c r="M90" s="18"/>
      <c r="N90" s="12"/>
    </row>
    <row r="91" spans="1:14" s="6" customFormat="1" ht="318.75">
      <c r="A91" s="50">
        <v>64</v>
      </c>
      <c r="B91" s="50" t="s">
        <v>114</v>
      </c>
      <c r="C91" s="51" t="s">
        <v>118</v>
      </c>
      <c r="D91" s="51" t="s">
        <v>31</v>
      </c>
      <c r="E91" s="52">
        <v>0.0101</v>
      </c>
      <c r="F91" s="51">
        <f>(119655.45-49803.71)*1.2</f>
        <v>83822.08799999999</v>
      </c>
      <c r="G91" s="51">
        <f>49803.71*1.2</f>
        <v>59764.452</v>
      </c>
      <c r="H91" s="51">
        <f>1208.52*1.2</f>
        <v>1450.224</v>
      </c>
      <c r="I91" s="51">
        <f>(1208.52-503.01)*1.2</f>
        <v>846.612</v>
      </c>
      <c r="J91" s="51">
        <f>503.01*1.2</f>
        <v>603.612</v>
      </c>
      <c r="K91" s="18"/>
      <c r="L91" s="19"/>
      <c r="M91" s="18"/>
      <c r="N91" s="12"/>
    </row>
    <row r="92" spans="1:14" s="6" customFormat="1" ht="25.5">
      <c r="A92" s="50">
        <v>65</v>
      </c>
      <c r="B92" s="50" t="s">
        <v>119</v>
      </c>
      <c r="C92" s="51" t="s">
        <v>120</v>
      </c>
      <c r="D92" s="51" t="s">
        <v>60</v>
      </c>
      <c r="E92" s="52">
        <v>1.01</v>
      </c>
      <c r="F92" s="51">
        <f>(4262.95-4262.95)*1.2</f>
        <v>0</v>
      </c>
      <c r="G92" s="51">
        <f>4262.95*1.2</f>
        <v>5115.54</v>
      </c>
      <c r="H92" s="51">
        <f>4305.58*1.2</f>
        <v>5166.696</v>
      </c>
      <c r="I92" s="51">
        <f>(4305.58-4305.58)*1.2</f>
        <v>0</v>
      </c>
      <c r="J92" s="51">
        <f>4305.58*1.2</f>
        <v>5166.696</v>
      </c>
      <c r="K92" s="18"/>
      <c r="L92" s="19"/>
      <c r="M92" s="18"/>
      <c r="N92" s="12"/>
    </row>
    <row r="93" spans="1:14" s="6" customFormat="1" ht="18" customHeight="1">
      <c r="A93" s="77" t="s">
        <v>121</v>
      </c>
      <c r="B93" s="78"/>
      <c r="C93" s="78"/>
      <c r="D93" s="78"/>
      <c r="E93" s="78"/>
      <c r="F93" s="78"/>
      <c r="G93" s="78"/>
      <c r="H93" s="78"/>
      <c r="I93" s="78"/>
      <c r="J93" s="78"/>
      <c r="K93" s="18"/>
      <c r="L93" s="19"/>
      <c r="M93" s="18"/>
      <c r="N93" s="12"/>
    </row>
    <row r="94" spans="1:14" s="6" customFormat="1" ht="165.75">
      <c r="A94" s="50">
        <v>66</v>
      </c>
      <c r="B94" s="50" t="s">
        <v>122</v>
      </c>
      <c r="C94" s="51" t="s">
        <v>123</v>
      </c>
      <c r="D94" s="51" t="s">
        <v>60</v>
      </c>
      <c r="E94" s="52">
        <v>42.0312</v>
      </c>
      <c r="F94" s="51">
        <f>(1103.65-240.44)*1.2</f>
        <v>1035.852</v>
      </c>
      <c r="G94" s="51">
        <f>240.44*1.2</f>
        <v>288.52799999999996</v>
      </c>
      <c r="H94" s="51">
        <f>46387.9*1.2</f>
        <v>55665.48</v>
      </c>
      <c r="I94" s="51">
        <f>(46387.9-10105.99)*1.2</f>
        <v>43538.292</v>
      </c>
      <c r="J94" s="51">
        <f>10105.99*1.2</f>
        <v>12127.188</v>
      </c>
      <c r="K94" s="18"/>
      <c r="L94" s="19"/>
      <c r="M94" s="18"/>
      <c r="N94" s="12"/>
    </row>
    <row r="95" spans="1:14" s="6" customFormat="1" ht="165.75">
      <c r="A95" s="50">
        <v>67</v>
      </c>
      <c r="B95" s="50" t="s">
        <v>124</v>
      </c>
      <c r="C95" s="51" t="s">
        <v>125</v>
      </c>
      <c r="D95" s="51" t="s">
        <v>60</v>
      </c>
      <c r="E95" s="52">
        <v>1.4442</v>
      </c>
      <c r="F95" s="51">
        <f>(1048.71-266.25)*1.2</f>
        <v>938.952</v>
      </c>
      <c r="G95" s="51">
        <f>266.25*1.2</f>
        <v>319.5</v>
      </c>
      <c r="H95" s="51">
        <f>1514.54*1.2</f>
        <v>1817.4479999999999</v>
      </c>
      <c r="I95" s="51">
        <f>(1514.54-384.52)*1.2</f>
        <v>1356.024</v>
      </c>
      <c r="J95" s="51">
        <f>384.52*1.2</f>
        <v>461.424</v>
      </c>
      <c r="K95" s="18"/>
      <c r="L95" s="19"/>
      <c r="M95" s="18"/>
      <c r="N95" s="12"/>
    </row>
    <row r="96" spans="1:14" s="6" customFormat="1" ht="25.5">
      <c r="A96" s="50">
        <v>68</v>
      </c>
      <c r="B96" s="50" t="s">
        <v>126</v>
      </c>
      <c r="C96" s="51" t="s">
        <v>127</v>
      </c>
      <c r="D96" s="51" t="s">
        <v>60</v>
      </c>
      <c r="E96" s="52">
        <v>43.4754</v>
      </c>
      <c r="F96" s="51">
        <f>(14694.92-14694.92)*1.2</f>
        <v>0</v>
      </c>
      <c r="G96" s="51">
        <f>14694.92*1.2</f>
        <v>17633.904</v>
      </c>
      <c r="H96" s="51">
        <f>638867.53*1.2</f>
        <v>766641.036</v>
      </c>
      <c r="I96" s="51">
        <f>(638867.53-638867.53)*1.2</f>
        <v>0</v>
      </c>
      <c r="J96" s="51">
        <f>638867.53*1.2</f>
        <v>766641.036</v>
      </c>
      <c r="K96" s="18"/>
      <c r="L96" s="19"/>
      <c r="M96" s="18"/>
      <c r="N96" s="12"/>
    </row>
    <row r="97" spans="1:14" s="6" customFormat="1" ht="18" customHeight="1">
      <c r="A97" s="77" t="s">
        <v>128</v>
      </c>
      <c r="B97" s="78"/>
      <c r="C97" s="78"/>
      <c r="D97" s="78"/>
      <c r="E97" s="78"/>
      <c r="F97" s="78"/>
      <c r="G97" s="78"/>
      <c r="H97" s="78"/>
      <c r="I97" s="78"/>
      <c r="J97" s="78"/>
      <c r="K97" s="18"/>
      <c r="L97" s="19"/>
      <c r="M97" s="18"/>
      <c r="N97" s="12"/>
    </row>
    <row r="98" spans="1:14" s="6" customFormat="1" ht="153">
      <c r="A98" s="50">
        <v>69</v>
      </c>
      <c r="B98" s="50" t="s">
        <v>129</v>
      </c>
      <c r="C98" s="51" t="s">
        <v>130</v>
      </c>
      <c r="D98" s="51" t="s">
        <v>131</v>
      </c>
      <c r="E98" s="52">
        <v>1.989</v>
      </c>
      <c r="F98" s="51">
        <f>(34340.03-27656.33)*1.2</f>
        <v>8020.439999999996</v>
      </c>
      <c r="G98" s="51">
        <f>27656.33*1.2</f>
        <v>33187.596</v>
      </c>
      <c r="H98" s="51">
        <f>68302.32*1.2</f>
        <v>81962.784</v>
      </c>
      <c r="I98" s="51">
        <f>(68302.32-55008.43)*1.2</f>
        <v>15952.668000000007</v>
      </c>
      <c r="J98" s="51">
        <f>55008.43*1.2</f>
        <v>66010.116</v>
      </c>
      <c r="K98" s="18"/>
      <c r="L98" s="19"/>
      <c r="M98" s="18"/>
      <c r="N98" s="12"/>
    </row>
    <row r="99" spans="1:14" s="6" customFormat="1" ht="12.75">
      <c r="A99" s="53">
        <v>70</v>
      </c>
      <c r="B99" s="53" t="s">
        <v>132</v>
      </c>
      <c r="C99" s="54" t="s">
        <v>133</v>
      </c>
      <c r="D99" s="54" t="s">
        <v>134</v>
      </c>
      <c r="E99" s="55">
        <v>198.9</v>
      </c>
      <c r="F99" s="54">
        <f>(310.81-310.81)*1.2</f>
        <v>0</v>
      </c>
      <c r="G99" s="54">
        <f>310.81*1.2</f>
        <v>372.972</v>
      </c>
      <c r="H99" s="54">
        <f>61820.11*1.2</f>
        <v>74184.132</v>
      </c>
      <c r="I99" s="54">
        <f>(61820.11-61820.11)*1.2</f>
        <v>0</v>
      </c>
      <c r="J99" s="54">
        <f>61820.11*1.2</f>
        <v>74184.132</v>
      </c>
      <c r="K99" s="18"/>
      <c r="L99" s="19"/>
      <c r="M99" s="18"/>
      <c r="N99" s="12"/>
    </row>
    <row r="100" spans="1:14" s="6" customFormat="1" ht="18.75" customHeight="1">
      <c r="A100" s="79" t="s">
        <v>135</v>
      </c>
      <c r="B100" s="80"/>
      <c r="C100" s="80"/>
      <c r="D100" s="80"/>
      <c r="E100" s="80"/>
      <c r="F100" s="80"/>
      <c r="G100" s="80"/>
      <c r="H100" s="80"/>
      <c r="I100" s="80"/>
      <c r="J100" s="80"/>
      <c r="K100" s="18"/>
      <c r="L100" s="19"/>
      <c r="M100" s="18"/>
      <c r="N100" s="12"/>
    </row>
    <row r="101" spans="1:14" s="6" customFormat="1" ht="18" customHeight="1">
      <c r="A101" s="77" t="s">
        <v>136</v>
      </c>
      <c r="B101" s="78"/>
      <c r="C101" s="78"/>
      <c r="D101" s="78"/>
      <c r="E101" s="78"/>
      <c r="F101" s="78"/>
      <c r="G101" s="78"/>
      <c r="H101" s="78"/>
      <c r="I101" s="78"/>
      <c r="J101" s="78"/>
      <c r="K101" s="18"/>
      <c r="L101" s="19"/>
      <c r="M101" s="18"/>
      <c r="N101" s="12"/>
    </row>
    <row r="102" spans="1:14" s="6" customFormat="1" ht="318.75">
      <c r="A102" s="50">
        <v>71</v>
      </c>
      <c r="B102" s="50" t="s">
        <v>137</v>
      </c>
      <c r="C102" s="51" t="s">
        <v>138</v>
      </c>
      <c r="D102" s="51" t="s">
        <v>31</v>
      </c>
      <c r="E102" s="52">
        <v>0.3552</v>
      </c>
      <c r="F102" s="51">
        <f>(70899.47-29706.86)*1.2</f>
        <v>49431.132</v>
      </c>
      <c r="G102" s="51">
        <f>29706.86*1.2</f>
        <v>35648.231999999996</v>
      </c>
      <c r="H102" s="51">
        <f>25183.49*1.2</f>
        <v>30220.188000000002</v>
      </c>
      <c r="I102" s="51">
        <f>(25183.49-10551.88)*1.2</f>
        <v>17557.932</v>
      </c>
      <c r="J102" s="51">
        <f>10551.88*1.2</f>
        <v>12662.256</v>
      </c>
      <c r="K102" s="18"/>
      <c r="L102" s="19"/>
      <c r="M102" s="18"/>
      <c r="N102" s="12"/>
    </row>
    <row r="103" spans="1:14" s="6" customFormat="1" ht="25.5">
      <c r="A103" s="50">
        <v>72</v>
      </c>
      <c r="B103" s="50" t="s">
        <v>139</v>
      </c>
      <c r="C103" s="51" t="s">
        <v>140</v>
      </c>
      <c r="D103" s="51" t="s">
        <v>60</v>
      </c>
      <c r="E103" s="52">
        <v>35.52</v>
      </c>
      <c r="F103" s="51">
        <f>(4652.03-4652.03)*1.2</f>
        <v>0</v>
      </c>
      <c r="G103" s="51">
        <f>4652.03*1.2</f>
        <v>5582.436</v>
      </c>
      <c r="H103" s="51">
        <f>165240.11*1.2</f>
        <v>198288.13199999998</v>
      </c>
      <c r="I103" s="51">
        <f>(165240.11-165240.11)*1.2</f>
        <v>0</v>
      </c>
      <c r="J103" s="51">
        <f>165240.11*1.2</f>
        <v>198288.13199999998</v>
      </c>
      <c r="K103" s="18"/>
      <c r="L103" s="19"/>
      <c r="M103" s="18"/>
      <c r="N103" s="12"/>
    </row>
    <row r="104" spans="1:14" s="6" customFormat="1" ht="18" customHeight="1">
      <c r="A104" s="77" t="s">
        <v>141</v>
      </c>
      <c r="B104" s="78"/>
      <c r="C104" s="78"/>
      <c r="D104" s="78"/>
      <c r="E104" s="78"/>
      <c r="F104" s="78"/>
      <c r="G104" s="78"/>
      <c r="H104" s="78"/>
      <c r="I104" s="78"/>
      <c r="J104" s="78"/>
      <c r="K104" s="18"/>
      <c r="L104" s="19"/>
      <c r="M104" s="18"/>
      <c r="N104" s="12"/>
    </row>
    <row r="105" spans="1:14" s="6" customFormat="1" ht="242.25">
      <c r="A105" s="50">
        <v>73</v>
      </c>
      <c r="B105" s="50" t="s">
        <v>142</v>
      </c>
      <c r="C105" s="51" t="s">
        <v>143</v>
      </c>
      <c r="D105" s="51" t="s">
        <v>60</v>
      </c>
      <c r="E105" s="52">
        <v>7.83</v>
      </c>
      <c r="F105" s="51">
        <f>(1084.1-124.8)*1.2</f>
        <v>1151.1599999999999</v>
      </c>
      <c r="G105" s="51">
        <f>124.8*1.2</f>
        <v>149.76</v>
      </c>
      <c r="H105" s="51">
        <f>8488.48*1.2</f>
        <v>10186.176</v>
      </c>
      <c r="I105" s="51">
        <f>(8488.48-977.18)*1.2</f>
        <v>9013.56</v>
      </c>
      <c r="J105" s="51">
        <f>977.18*1.2</f>
        <v>1172.616</v>
      </c>
      <c r="K105" s="18"/>
      <c r="L105" s="19"/>
      <c r="M105" s="18"/>
      <c r="N105" s="12"/>
    </row>
    <row r="106" spans="1:14" s="6" customFormat="1" ht="12.75">
      <c r="A106" s="50">
        <v>74</v>
      </c>
      <c r="B106" s="50" t="s">
        <v>144</v>
      </c>
      <c r="C106" s="51" t="s">
        <v>145</v>
      </c>
      <c r="D106" s="51" t="s">
        <v>146</v>
      </c>
      <c r="E106" s="52">
        <v>4</v>
      </c>
      <c r="F106" s="51">
        <f>(199.37-199.37)*1.2</f>
        <v>0</v>
      </c>
      <c r="G106" s="51">
        <f>199.37*1.2</f>
        <v>239.244</v>
      </c>
      <c r="H106" s="51">
        <f>797.48*1.2</f>
        <v>956.976</v>
      </c>
      <c r="I106" s="51">
        <f>(797.48-797.48)*1.2</f>
        <v>0</v>
      </c>
      <c r="J106" s="51">
        <f>797.48*1.2</f>
        <v>956.976</v>
      </c>
      <c r="K106" s="18"/>
      <c r="L106" s="19"/>
      <c r="M106" s="18"/>
      <c r="N106" s="12"/>
    </row>
    <row r="107" spans="1:14" s="6" customFormat="1" ht="12.75">
      <c r="A107" s="50">
        <v>75</v>
      </c>
      <c r="B107" s="50" t="s">
        <v>147</v>
      </c>
      <c r="C107" s="51" t="s">
        <v>148</v>
      </c>
      <c r="D107" s="51" t="s">
        <v>149</v>
      </c>
      <c r="E107" s="52">
        <v>4</v>
      </c>
      <c r="F107" s="51">
        <f>(15122.54-15122.54)*1.2</f>
        <v>0</v>
      </c>
      <c r="G107" s="51">
        <f>15122.54*1.2</f>
        <v>18147.048</v>
      </c>
      <c r="H107" s="51">
        <f>60490.16*1.2</f>
        <v>72588.192</v>
      </c>
      <c r="I107" s="51">
        <f>(60490.16-60490.16)*1.2</f>
        <v>0</v>
      </c>
      <c r="J107" s="51">
        <f>60490.16*1.2</f>
        <v>72588.192</v>
      </c>
      <c r="K107" s="18"/>
      <c r="L107" s="19"/>
      <c r="M107" s="18"/>
      <c r="N107" s="12"/>
    </row>
    <row r="108" spans="1:14" s="6" customFormat="1" ht="18" customHeight="1">
      <c r="A108" s="77" t="s">
        <v>150</v>
      </c>
      <c r="B108" s="78"/>
      <c r="C108" s="78"/>
      <c r="D108" s="78"/>
      <c r="E108" s="78"/>
      <c r="F108" s="78"/>
      <c r="G108" s="78"/>
      <c r="H108" s="78"/>
      <c r="I108" s="78"/>
      <c r="J108" s="78"/>
      <c r="K108" s="18"/>
      <c r="L108" s="19"/>
      <c r="M108" s="18"/>
      <c r="N108" s="12"/>
    </row>
    <row r="109" spans="1:14" s="6" customFormat="1" ht="242.25">
      <c r="A109" s="50">
        <v>76</v>
      </c>
      <c r="B109" s="50" t="s">
        <v>142</v>
      </c>
      <c r="C109" s="51" t="s">
        <v>151</v>
      </c>
      <c r="D109" s="51" t="s">
        <v>60</v>
      </c>
      <c r="E109" s="52">
        <v>11.63</v>
      </c>
      <c r="F109" s="51">
        <f>(1084.1-124.8)*1.2</f>
        <v>1151.1599999999999</v>
      </c>
      <c r="G109" s="51">
        <f>124.8*1.2</f>
        <v>149.76</v>
      </c>
      <c r="H109" s="51">
        <f>12608.05*1.2</f>
        <v>15129.659999999998</v>
      </c>
      <c r="I109" s="51">
        <f>(12608.05-1451.42)*1.2</f>
        <v>13387.955999999998</v>
      </c>
      <c r="J109" s="51">
        <f>1451.42*1.2</f>
        <v>1741.704</v>
      </c>
      <c r="K109" s="18"/>
      <c r="L109" s="19"/>
      <c r="M109" s="18"/>
      <c r="N109" s="12"/>
    </row>
    <row r="110" spans="1:14" s="6" customFormat="1" ht="12.75">
      <c r="A110" s="50">
        <v>77</v>
      </c>
      <c r="B110" s="50" t="s">
        <v>152</v>
      </c>
      <c r="C110" s="51" t="s">
        <v>153</v>
      </c>
      <c r="D110" s="51" t="s">
        <v>146</v>
      </c>
      <c r="E110" s="52">
        <v>5</v>
      </c>
      <c r="F110" s="51">
        <f>(141.9-141.9)*1.2</f>
        <v>0</v>
      </c>
      <c r="G110" s="51">
        <f>141.9*1.2</f>
        <v>170.28</v>
      </c>
      <c r="H110" s="51">
        <f>709.5*1.2</f>
        <v>851.4</v>
      </c>
      <c r="I110" s="51">
        <f>(709.5-709.5)*1.2</f>
        <v>0</v>
      </c>
      <c r="J110" s="51">
        <f>709.5*1.2</f>
        <v>851.4</v>
      </c>
      <c r="K110" s="18"/>
      <c r="L110" s="19"/>
      <c r="M110" s="18"/>
      <c r="N110" s="12"/>
    </row>
    <row r="111" spans="1:14" s="6" customFormat="1" ht="12.75">
      <c r="A111" s="50">
        <v>78</v>
      </c>
      <c r="B111" s="50" t="s">
        <v>154</v>
      </c>
      <c r="C111" s="51" t="s">
        <v>155</v>
      </c>
      <c r="D111" s="51" t="s">
        <v>149</v>
      </c>
      <c r="E111" s="52">
        <v>5</v>
      </c>
      <c r="F111" s="51">
        <f>(13950.61-13950.61)*1.2</f>
        <v>0</v>
      </c>
      <c r="G111" s="51">
        <f>13950.61*1.2</f>
        <v>16740.732</v>
      </c>
      <c r="H111" s="51">
        <f>69753.05*1.2</f>
        <v>83703.66</v>
      </c>
      <c r="I111" s="51">
        <f>(69753.05-69753.05)*1.2</f>
        <v>0</v>
      </c>
      <c r="J111" s="51">
        <f>69753.05*1.2</f>
        <v>83703.66</v>
      </c>
      <c r="K111" s="18"/>
      <c r="L111" s="19"/>
      <c r="M111" s="18"/>
      <c r="N111" s="12"/>
    </row>
    <row r="112" spans="1:14" s="6" customFormat="1" ht="18" customHeight="1">
      <c r="A112" s="77" t="s">
        <v>156</v>
      </c>
      <c r="B112" s="78"/>
      <c r="C112" s="78"/>
      <c r="D112" s="78"/>
      <c r="E112" s="78"/>
      <c r="F112" s="78"/>
      <c r="G112" s="78"/>
      <c r="H112" s="78"/>
      <c r="I112" s="78"/>
      <c r="J112" s="78"/>
      <c r="K112" s="18"/>
      <c r="L112" s="19"/>
      <c r="M112" s="18"/>
      <c r="N112" s="12"/>
    </row>
    <row r="113" spans="1:14" s="6" customFormat="1" ht="165.75">
      <c r="A113" s="50">
        <v>79</v>
      </c>
      <c r="B113" s="50" t="s">
        <v>157</v>
      </c>
      <c r="C113" s="51" t="s">
        <v>158</v>
      </c>
      <c r="D113" s="51" t="s">
        <v>60</v>
      </c>
      <c r="E113" s="52">
        <v>28.6161</v>
      </c>
      <c r="F113" s="51">
        <f>(1048.7-266.25)*1.2</f>
        <v>938.94</v>
      </c>
      <c r="G113" s="51">
        <f>266.25*1.2</f>
        <v>319.5</v>
      </c>
      <c r="H113" s="51">
        <f>30009.79*1.2</f>
        <v>36011.748</v>
      </c>
      <c r="I113" s="51">
        <f>(30009.79-7619.03)*1.2</f>
        <v>26868.912</v>
      </c>
      <c r="J113" s="51">
        <f>7619.03*1.2</f>
        <v>9142.836</v>
      </c>
      <c r="K113" s="18"/>
      <c r="L113" s="19"/>
      <c r="M113" s="18"/>
      <c r="N113" s="12"/>
    </row>
    <row r="114" spans="1:14" s="6" customFormat="1" ht="25.5">
      <c r="A114" s="50">
        <v>80</v>
      </c>
      <c r="B114" s="50" t="s">
        <v>159</v>
      </c>
      <c r="C114" s="51" t="s">
        <v>160</v>
      </c>
      <c r="D114" s="51" t="s">
        <v>149</v>
      </c>
      <c r="E114" s="52">
        <v>2</v>
      </c>
      <c r="F114" s="51">
        <f>(10261.94-10261.94)*1.2</f>
        <v>0</v>
      </c>
      <c r="G114" s="51">
        <f>10261.94*1.2</f>
        <v>12314.328</v>
      </c>
      <c r="H114" s="51">
        <f>20523.88*1.2</f>
        <v>24628.656</v>
      </c>
      <c r="I114" s="51">
        <f>(20523.88-20523.88)*1.2</f>
        <v>0</v>
      </c>
      <c r="J114" s="51">
        <f>20523.88*1.2</f>
        <v>24628.656</v>
      </c>
      <c r="K114" s="18"/>
      <c r="L114" s="19"/>
      <c r="M114" s="18"/>
      <c r="N114" s="12"/>
    </row>
    <row r="115" spans="1:14" s="6" customFormat="1" ht="25.5">
      <c r="A115" s="50">
        <v>81</v>
      </c>
      <c r="B115" s="50" t="s">
        <v>161</v>
      </c>
      <c r="C115" s="51" t="s">
        <v>162</v>
      </c>
      <c r="D115" s="51" t="s">
        <v>149</v>
      </c>
      <c r="E115" s="52">
        <v>1</v>
      </c>
      <c r="F115" s="51">
        <f>(9388.55-9388.55)*1.2</f>
        <v>0</v>
      </c>
      <c r="G115" s="51">
        <f>9388.55*1.2</f>
        <v>11266.259999999998</v>
      </c>
      <c r="H115" s="51">
        <f>9388.55*1.2</f>
        <v>11266.259999999998</v>
      </c>
      <c r="I115" s="51">
        <f>(9388.55-9388.55)*1.2</f>
        <v>0</v>
      </c>
      <c r="J115" s="51">
        <f>9388.55*1.2</f>
        <v>11266.259999999998</v>
      </c>
      <c r="K115" s="18"/>
      <c r="L115" s="19"/>
      <c r="M115" s="18"/>
      <c r="N115" s="12"/>
    </row>
    <row r="116" spans="1:14" s="6" customFormat="1" ht="25.5">
      <c r="A116" s="50">
        <v>82</v>
      </c>
      <c r="B116" s="50" t="s">
        <v>159</v>
      </c>
      <c r="C116" s="51" t="s">
        <v>163</v>
      </c>
      <c r="D116" s="51" t="s">
        <v>149</v>
      </c>
      <c r="E116" s="52">
        <v>12</v>
      </c>
      <c r="F116" s="51">
        <f>(10261.94-10261.94)*1.2</f>
        <v>0</v>
      </c>
      <c r="G116" s="51">
        <f>10261.94*1.2</f>
        <v>12314.328</v>
      </c>
      <c r="H116" s="51">
        <f>123143.28*1.2</f>
        <v>147771.936</v>
      </c>
      <c r="I116" s="51">
        <f>(123143.28-123143.28)*1.2</f>
        <v>0</v>
      </c>
      <c r="J116" s="51">
        <f>123143.28*1.2</f>
        <v>147771.936</v>
      </c>
      <c r="K116" s="18"/>
      <c r="L116" s="19"/>
      <c r="M116" s="18"/>
      <c r="N116" s="12"/>
    </row>
    <row r="117" spans="1:14" s="6" customFormat="1" ht="165.75">
      <c r="A117" s="50">
        <v>83</v>
      </c>
      <c r="B117" s="50" t="s">
        <v>164</v>
      </c>
      <c r="C117" s="51" t="s">
        <v>165</v>
      </c>
      <c r="D117" s="51" t="s">
        <v>60</v>
      </c>
      <c r="E117" s="52">
        <v>18.2574</v>
      </c>
      <c r="F117" s="51">
        <f>(1260.65-240.44)*1.2</f>
        <v>1224.252</v>
      </c>
      <c r="G117" s="51">
        <f>240.44*1.2</f>
        <v>288.52799999999996</v>
      </c>
      <c r="H117" s="51">
        <f>23016.25*1.2</f>
        <v>27619.5</v>
      </c>
      <c r="I117" s="51">
        <f>(23016.25-4389.8)*1.2</f>
        <v>22351.74</v>
      </c>
      <c r="J117" s="51">
        <f>4389.8*1.2</f>
        <v>5267.76</v>
      </c>
      <c r="K117" s="18"/>
      <c r="L117" s="19"/>
      <c r="M117" s="18"/>
      <c r="N117" s="12"/>
    </row>
    <row r="118" spans="1:14" s="6" customFormat="1" ht="25.5">
      <c r="A118" s="50">
        <v>84</v>
      </c>
      <c r="B118" s="50" t="s">
        <v>166</v>
      </c>
      <c r="C118" s="51" t="s">
        <v>167</v>
      </c>
      <c r="D118" s="51" t="s">
        <v>149</v>
      </c>
      <c r="E118" s="52">
        <v>3</v>
      </c>
      <c r="F118" s="51">
        <f>(17086.94-17086.94)*1.2</f>
        <v>0</v>
      </c>
      <c r="G118" s="51">
        <f>17086.94*1.2</f>
        <v>20504.327999999998</v>
      </c>
      <c r="H118" s="51">
        <f>51260.82*1.2</f>
        <v>61512.984</v>
      </c>
      <c r="I118" s="51">
        <f>(51260.82-51260.82)*1.2</f>
        <v>0</v>
      </c>
      <c r="J118" s="51">
        <f>51260.82*1.2</f>
        <v>61512.984</v>
      </c>
      <c r="K118" s="18"/>
      <c r="L118" s="19"/>
      <c r="M118" s="18"/>
      <c r="N118" s="12"/>
    </row>
    <row r="119" spans="1:14" s="6" customFormat="1" ht="25.5">
      <c r="A119" s="50">
        <v>85</v>
      </c>
      <c r="B119" s="50" t="s">
        <v>168</v>
      </c>
      <c r="C119" s="51" t="s">
        <v>169</v>
      </c>
      <c r="D119" s="51" t="s">
        <v>149</v>
      </c>
      <c r="E119" s="52">
        <v>3</v>
      </c>
      <c r="F119" s="51">
        <f>(16281.73-16281.73)*1.2</f>
        <v>0</v>
      </c>
      <c r="G119" s="51">
        <f>16281.73*1.2</f>
        <v>19538.075999999997</v>
      </c>
      <c r="H119" s="51">
        <f>48845.19*1.2</f>
        <v>58614.228</v>
      </c>
      <c r="I119" s="51">
        <f>(48845.19-48845.19)*1.2</f>
        <v>0</v>
      </c>
      <c r="J119" s="51">
        <f>48845.19*1.2</f>
        <v>58614.228</v>
      </c>
      <c r="K119" s="18"/>
      <c r="L119" s="19"/>
      <c r="M119" s="18"/>
      <c r="N119" s="12"/>
    </row>
    <row r="120" spans="1:14" s="6" customFormat="1" ht="12.75">
      <c r="A120" s="50">
        <v>86</v>
      </c>
      <c r="B120" s="50" t="s">
        <v>170</v>
      </c>
      <c r="C120" s="51" t="s">
        <v>171</v>
      </c>
      <c r="D120" s="51" t="s">
        <v>149</v>
      </c>
      <c r="E120" s="52">
        <v>6</v>
      </c>
      <c r="F120" s="51">
        <f>(590.81-590.81)*1.2</f>
        <v>0</v>
      </c>
      <c r="G120" s="51">
        <f>590.81*1.2</f>
        <v>708.9719999999999</v>
      </c>
      <c r="H120" s="51">
        <f>3544.86*1.2</f>
        <v>4253.832</v>
      </c>
      <c r="I120" s="51">
        <f>(3544.86-3544.86)*1.2</f>
        <v>0</v>
      </c>
      <c r="J120" s="51">
        <f>3544.86*1.2</f>
        <v>4253.832</v>
      </c>
      <c r="K120" s="18"/>
      <c r="L120" s="19"/>
      <c r="M120" s="18"/>
      <c r="N120" s="12"/>
    </row>
    <row r="121" spans="1:14" s="6" customFormat="1" ht="18" customHeight="1">
      <c r="A121" s="77" t="s">
        <v>172</v>
      </c>
      <c r="B121" s="78"/>
      <c r="C121" s="78"/>
      <c r="D121" s="78"/>
      <c r="E121" s="78"/>
      <c r="F121" s="78"/>
      <c r="G121" s="78"/>
      <c r="H121" s="78"/>
      <c r="I121" s="78"/>
      <c r="J121" s="78"/>
      <c r="K121" s="18"/>
      <c r="L121" s="19"/>
      <c r="M121" s="18"/>
      <c r="N121" s="12"/>
    </row>
    <row r="122" spans="1:14" s="6" customFormat="1" ht="165.75">
      <c r="A122" s="50">
        <v>87</v>
      </c>
      <c r="B122" s="50" t="s">
        <v>164</v>
      </c>
      <c r="C122" s="51" t="s">
        <v>173</v>
      </c>
      <c r="D122" s="51" t="s">
        <v>60</v>
      </c>
      <c r="E122" s="52">
        <v>3.5412</v>
      </c>
      <c r="F122" s="51">
        <f>(1260.65-240.44)*1.2</f>
        <v>1224.252</v>
      </c>
      <c r="G122" s="51">
        <f>240.44*1.2</f>
        <v>288.52799999999996</v>
      </c>
      <c r="H122" s="51">
        <f>4464.23*1.2</f>
        <v>5357.075999999999</v>
      </c>
      <c r="I122" s="51">
        <f>(4464.23-851.44)*1.2</f>
        <v>4335.347999999999</v>
      </c>
      <c r="J122" s="51">
        <f>851.44*1.2</f>
        <v>1021.7280000000001</v>
      </c>
      <c r="K122" s="18"/>
      <c r="L122" s="19"/>
      <c r="M122" s="18"/>
      <c r="N122" s="12"/>
    </row>
    <row r="123" spans="1:14" s="6" customFormat="1" ht="25.5">
      <c r="A123" s="50">
        <v>88</v>
      </c>
      <c r="B123" s="50" t="s">
        <v>166</v>
      </c>
      <c r="C123" s="51" t="s">
        <v>174</v>
      </c>
      <c r="D123" s="51" t="s">
        <v>149</v>
      </c>
      <c r="E123" s="52">
        <v>1</v>
      </c>
      <c r="F123" s="51">
        <f>(17086.94-17086.94)*1.2</f>
        <v>0</v>
      </c>
      <c r="G123" s="51">
        <f>17086.94*1.2</f>
        <v>20504.327999999998</v>
      </c>
      <c r="H123" s="51">
        <f>17086.94*1.2</f>
        <v>20504.327999999998</v>
      </c>
      <c r="I123" s="51">
        <f>(17086.94-17086.94)*1.2</f>
        <v>0</v>
      </c>
      <c r="J123" s="51">
        <f>17086.94*1.2</f>
        <v>20504.327999999998</v>
      </c>
      <c r="K123" s="18"/>
      <c r="L123" s="19"/>
      <c r="M123" s="18"/>
      <c r="N123" s="12"/>
    </row>
    <row r="124" spans="1:14" s="6" customFormat="1" ht="18" customHeight="1">
      <c r="A124" s="77" t="s">
        <v>175</v>
      </c>
      <c r="B124" s="78"/>
      <c r="C124" s="78"/>
      <c r="D124" s="78"/>
      <c r="E124" s="78"/>
      <c r="F124" s="78"/>
      <c r="G124" s="78"/>
      <c r="H124" s="78"/>
      <c r="I124" s="78"/>
      <c r="J124" s="78"/>
      <c r="K124" s="18"/>
      <c r="L124" s="19"/>
      <c r="M124" s="18"/>
      <c r="N124" s="12"/>
    </row>
    <row r="125" spans="1:14" s="6" customFormat="1" ht="153">
      <c r="A125" s="50">
        <v>89</v>
      </c>
      <c r="B125" s="50" t="s">
        <v>176</v>
      </c>
      <c r="C125" s="51" t="s">
        <v>177</v>
      </c>
      <c r="D125" s="51" t="s">
        <v>31</v>
      </c>
      <c r="E125" s="52">
        <v>2.9292</v>
      </c>
      <c r="F125" s="51">
        <f>(49070.27-9225.65)*1.2</f>
        <v>47813.543999999994</v>
      </c>
      <c r="G125" s="51">
        <f>9225.65*1.2</f>
        <v>11070.779999999999</v>
      </c>
      <c r="H125" s="51">
        <f>143736.63*1.2</f>
        <v>172483.956</v>
      </c>
      <c r="I125" s="51">
        <f>(143736.63-27023.78)*1.2</f>
        <v>140055.42</v>
      </c>
      <c r="J125" s="51">
        <f>27023.78*1.2</f>
        <v>32428.535999999996</v>
      </c>
      <c r="K125" s="18"/>
      <c r="L125" s="19"/>
      <c r="M125" s="18"/>
      <c r="N125" s="12"/>
    </row>
    <row r="126" spans="1:14" s="6" customFormat="1" ht="12.75">
      <c r="A126" s="50">
        <v>90</v>
      </c>
      <c r="B126" s="50" t="s">
        <v>178</v>
      </c>
      <c r="C126" s="51" t="s">
        <v>179</v>
      </c>
      <c r="D126" s="51" t="s">
        <v>60</v>
      </c>
      <c r="E126" s="52">
        <v>85.26</v>
      </c>
      <c r="F126" s="51">
        <f>(1181.16-1181.16)*1.2</f>
        <v>0</v>
      </c>
      <c r="G126" s="51">
        <f>1181.16*1.2</f>
        <v>1417.392</v>
      </c>
      <c r="H126" s="51">
        <f>100705.7*1.2</f>
        <v>120846.84</v>
      </c>
      <c r="I126" s="51">
        <f>(100705.7-100705.7)*1.2</f>
        <v>0</v>
      </c>
      <c r="J126" s="51">
        <f>100705.7*1.2</f>
        <v>120846.84</v>
      </c>
      <c r="K126" s="18"/>
      <c r="L126" s="19"/>
      <c r="M126" s="18"/>
      <c r="N126" s="12"/>
    </row>
    <row r="127" spans="1:14" s="6" customFormat="1" ht="12.75">
      <c r="A127" s="50">
        <v>91</v>
      </c>
      <c r="B127" s="50" t="s">
        <v>180</v>
      </c>
      <c r="C127" s="51" t="s">
        <v>181</v>
      </c>
      <c r="D127" s="51" t="s">
        <v>60</v>
      </c>
      <c r="E127" s="52">
        <v>55.86</v>
      </c>
      <c r="F127" s="51">
        <f>(1139.39-1139.39)*1.2</f>
        <v>0</v>
      </c>
      <c r="G127" s="51">
        <f>1139.39*1.2</f>
        <v>1367.268</v>
      </c>
      <c r="H127" s="51">
        <f>63646.33*1.2</f>
        <v>76375.596</v>
      </c>
      <c r="I127" s="51">
        <f>(63646.33-63646.33)*1.2</f>
        <v>0</v>
      </c>
      <c r="J127" s="51">
        <f>63646.33*1.2</f>
        <v>76375.596</v>
      </c>
      <c r="K127" s="18"/>
      <c r="L127" s="19"/>
      <c r="M127" s="18"/>
      <c r="N127" s="12"/>
    </row>
    <row r="128" spans="1:14" s="6" customFormat="1" ht="12.75">
      <c r="A128" s="50">
        <v>92</v>
      </c>
      <c r="B128" s="50" t="s">
        <v>182</v>
      </c>
      <c r="C128" s="51" t="s">
        <v>183</v>
      </c>
      <c r="D128" s="51" t="s">
        <v>60</v>
      </c>
      <c r="E128" s="52">
        <v>83.79</v>
      </c>
      <c r="F128" s="51">
        <f>(1148.96-1148.96)*1.2</f>
        <v>0</v>
      </c>
      <c r="G128" s="51">
        <f>1148.96*1.2</f>
        <v>1378.752</v>
      </c>
      <c r="H128" s="51">
        <f>96271.36*1.2</f>
        <v>115525.632</v>
      </c>
      <c r="I128" s="51">
        <f>(96271.36-96271.36)*1.2</f>
        <v>0</v>
      </c>
      <c r="J128" s="51">
        <f>96271.36*1.2</f>
        <v>115525.632</v>
      </c>
      <c r="K128" s="18"/>
      <c r="L128" s="19"/>
      <c r="M128" s="18"/>
      <c r="N128" s="12"/>
    </row>
    <row r="129" spans="1:14" s="6" customFormat="1" ht="12.75">
      <c r="A129" s="50">
        <v>93</v>
      </c>
      <c r="B129" s="50" t="s">
        <v>184</v>
      </c>
      <c r="C129" s="51" t="s">
        <v>185</v>
      </c>
      <c r="D129" s="51" t="s">
        <v>60</v>
      </c>
      <c r="E129" s="52">
        <v>63.84</v>
      </c>
      <c r="F129" s="51">
        <f>(1204.62-1204.62)*1.2</f>
        <v>0</v>
      </c>
      <c r="G129" s="51">
        <f>1204.62*1.2</f>
        <v>1445.5439999999999</v>
      </c>
      <c r="H129" s="51">
        <f>76902.94*1.2</f>
        <v>92283.528</v>
      </c>
      <c r="I129" s="51">
        <f>(76902.94-76902.94)*1.2</f>
        <v>0</v>
      </c>
      <c r="J129" s="51">
        <f>76902.94*1.2</f>
        <v>92283.528</v>
      </c>
      <c r="K129" s="18"/>
      <c r="L129" s="19"/>
      <c r="M129" s="18"/>
      <c r="N129" s="12"/>
    </row>
    <row r="130" spans="1:14" s="6" customFormat="1" ht="12.75">
      <c r="A130" s="50">
        <v>94</v>
      </c>
      <c r="B130" s="50" t="s">
        <v>186</v>
      </c>
      <c r="C130" s="51" t="s">
        <v>187</v>
      </c>
      <c r="D130" s="51" t="s">
        <v>60</v>
      </c>
      <c r="E130" s="52">
        <v>4.17</v>
      </c>
      <c r="F130" s="51">
        <f>(1450.12-1450.12)*1.2</f>
        <v>0</v>
      </c>
      <c r="G130" s="51">
        <f>1450.12*1.2</f>
        <v>1740.1439999999998</v>
      </c>
      <c r="H130" s="51">
        <f>6047*1.2</f>
        <v>7256.4</v>
      </c>
      <c r="I130" s="51">
        <f>(6047-6047)*1.2</f>
        <v>0</v>
      </c>
      <c r="J130" s="51">
        <f>6047*1.2</f>
        <v>7256.4</v>
      </c>
      <c r="K130" s="18"/>
      <c r="L130" s="19"/>
      <c r="M130" s="18"/>
      <c r="N130" s="12"/>
    </row>
    <row r="131" spans="1:14" s="6" customFormat="1" ht="12.75">
      <c r="A131" s="50">
        <v>95</v>
      </c>
      <c r="B131" s="50" t="s">
        <v>152</v>
      </c>
      <c r="C131" s="51" t="s">
        <v>153</v>
      </c>
      <c r="D131" s="51" t="s">
        <v>146</v>
      </c>
      <c r="E131" s="52">
        <v>77</v>
      </c>
      <c r="F131" s="51">
        <f>(141.9-141.9)*1.2</f>
        <v>0</v>
      </c>
      <c r="G131" s="51">
        <f>141.9*1.2</f>
        <v>170.28</v>
      </c>
      <c r="H131" s="51">
        <f>10926.3*1.2</f>
        <v>13111.56</v>
      </c>
      <c r="I131" s="51">
        <f>(10926.3-10926.3)*1.2</f>
        <v>0</v>
      </c>
      <c r="J131" s="51">
        <f>10926.3*1.2</f>
        <v>13111.56</v>
      </c>
      <c r="K131" s="18"/>
      <c r="L131" s="19"/>
      <c r="M131" s="18"/>
      <c r="N131" s="12"/>
    </row>
    <row r="132" spans="1:14" s="6" customFormat="1" ht="12.75">
      <c r="A132" s="50">
        <v>96</v>
      </c>
      <c r="B132" s="50" t="s">
        <v>188</v>
      </c>
      <c r="C132" s="51" t="s">
        <v>189</v>
      </c>
      <c r="D132" s="51" t="s">
        <v>146</v>
      </c>
      <c r="E132" s="52">
        <v>48</v>
      </c>
      <c r="F132" s="51">
        <f>(146.68-146.68)*1.2</f>
        <v>0</v>
      </c>
      <c r="G132" s="51">
        <f>146.68*1.2</f>
        <v>176.016</v>
      </c>
      <c r="H132" s="51">
        <f>7040.64*1.2</f>
        <v>8448.768</v>
      </c>
      <c r="I132" s="51">
        <f>(7040.64-7040.64)*1.2</f>
        <v>0</v>
      </c>
      <c r="J132" s="51">
        <f>7040.64*1.2</f>
        <v>8448.768</v>
      </c>
      <c r="K132" s="18"/>
      <c r="L132" s="19"/>
      <c r="M132" s="18"/>
      <c r="N132" s="12"/>
    </row>
    <row r="133" spans="1:14" s="6" customFormat="1" ht="204">
      <c r="A133" s="50">
        <v>97</v>
      </c>
      <c r="B133" s="50" t="s">
        <v>190</v>
      </c>
      <c r="C133" s="51" t="s">
        <v>191</v>
      </c>
      <c r="D133" s="51" t="s">
        <v>31</v>
      </c>
      <c r="E133" s="52">
        <v>1.6905</v>
      </c>
      <c r="F133" s="51">
        <f>(31100.04-3945.92)*1.2</f>
        <v>32584.944000000003</v>
      </c>
      <c r="G133" s="51">
        <f>3945.92*1.2</f>
        <v>4735.104</v>
      </c>
      <c r="H133" s="51">
        <f>52574.62*1.2</f>
        <v>63089.544</v>
      </c>
      <c r="I133" s="51">
        <f>(52574.62-6670.58)*1.2</f>
        <v>55084.848</v>
      </c>
      <c r="J133" s="51">
        <f>6670.58*1.2</f>
        <v>8004.696</v>
      </c>
      <c r="K133" s="18"/>
      <c r="L133" s="19"/>
      <c r="M133" s="18"/>
      <c r="N133" s="12"/>
    </row>
    <row r="134" spans="1:14" s="6" customFormat="1" ht="12.75">
      <c r="A134" s="50">
        <v>98</v>
      </c>
      <c r="B134" s="50" t="s">
        <v>192</v>
      </c>
      <c r="C134" s="51" t="s">
        <v>193</v>
      </c>
      <c r="D134" s="51" t="s">
        <v>60</v>
      </c>
      <c r="E134" s="52">
        <v>179.2</v>
      </c>
      <c r="F134" s="51">
        <f>(570.39-570.39)*1.2</f>
        <v>0</v>
      </c>
      <c r="G134" s="51">
        <f>570.39*1.2</f>
        <v>684.468</v>
      </c>
      <c r="H134" s="51">
        <f>102213.89*1.2</f>
        <v>122656.66799999999</v>
      </c>
      <c r="I134" s="51">
        <f>(102213.89-102213.89)*1.2</f>
        <v>0</v>
      </c>
      <c r="J134" s="51">
        <f>102213.89*1.2</f>
        <v>122656.66799999999</v>
      </c>
      <c r="K134" s="18"/>
      <c r="L134" s="19"/>
      <c r="M134" s="18"/>
      <c r="N134" s="12"/>
    </row>
    <row r="135" spans="1:14" s="6" customFormat="1" ht="18" customHeight="1">
      <c r="A135" s="77" t="s">
        <v>194</v>
      </c>
      <c r="B135" s="78"/>
      <c r="C135" s="78"/>
      <c r="D135" s="78"/>
      <c r="E135" s="78"/>
      <c r="F135" s="78"/>
      <c r="G135" s="78"/>
      <c r="H135" s="78"/>
      <c r="I135" s="78"/>
      <c r="J135" s="78"/>
      <c r="K135" s="18"/>
      <c r="L135" s="19"/>
      <c r="M135" s="18"/>
      <c r="N135" s="12"/>
    </row>
    <row r="136" spans="1:14" s="6" customFormat="1" ht="153">
      <c r="A136" s="50">
        <v>99</v>
      </c>
      <c r="B136" s="50" t="s">
        <v>195</v>
      </c>
      <c r="C136" s="51" t="s">
        <v>196</v>
      </c>
      <c r="D136" s="51" t="s">
        <v>38</v>
      </c>
      <c r="E136" s="52">
        <v>0.182784</v>
      </c>
      <c r="F136" s="51">
        <f>(105491.13-3109.51)*1.2</f>
        <v>122857.944</v>
      </c>
      <c r="G136" s="51">
        <f>3109.51*1.2</f>
        <v>3731.4120000000003</v>
      </c>
      <c r="H136" s="51">
        <f>19282.09*1.2</f>
        <v>23138.507999999998</v>
      </c>
      <c r="I136" s="51">
        <f>(19282.09-568.37)*1.2</f>
        <v>22456.464</v>
      </c>
      <c r="J136" s="51">
        <f>568.37*1.2</f>
        <v>682.044</v>
      </c>
      <c r="K136" s="18"/>
      <c r="L136" s="19"/>
      <c r="M136" s="18"/>
      <c r="N136" s="12"/>
    </row>
    <row r="137" spans="1:14" s="6" customFormat="1" ht="38.25">
      <c r="A137" s="50">
        <v>100</v>
      </c>
      <c r="B137" s="50" t="s">
        <v>197</v>
      </c>
      <c r="C137" s="51" t="s">
        <v>198</v>
      </c>
      <c r="D137" s="51" t="s">
        <v>149</v>
      </c>
      <c r="E137" s="52">
        <v>4</v>
      </c>
      <c r="F137" s="51">
        <f>(30750.9-30750.9)*1.2</f>
        <v>0</v>
      </c>
      <c r="G137" s="51">
        <f>30750.9*1.2</f>
        <v>36901.08</v>
      </c>
      <c r="H137" s="51">
        <f>123003.6*1.2</f>
        <v>147604.32</v>
      </c>
      <c r="I137" s="51">
        <f>(123003.6-123003.6)*1.2</f>
        <v>0</v>
      </c>
      <c r="J137" s="51">
        <f>123003.6*1.2</f>
        <v>147604.32</v>
      </c>
      <c r="K137" s="18"/>
      <c r="L137" s="19"/>
      <c r="M137" s="18"/>
      <c r="N137" s="12"/>
    </row>
    <row r="138" spans="1:14" s="6" customFormat="1" ht="165.75">
      <c r="A138" s="50">
        <v>101</v>
      </c>
      <c r="B138" s="50" t="s">
        <v>199</v>
      </c>
      <c r="C138" s="51" t="s">
        <v>200</v>
      </c>
      <c r="D138" s="51" t="s">
        <v>31</v>
      </c>
      <c r="E138" s="52">
        <v>0.039</v>
      </c>
      <c r="F138" s="51">
        <f>(160597.95-109490.75)*1.2</f>
        <v>61328.640000000014</v>
      </c>
      <c r="G138" s="51">
        <f>109490.75*1.2</f>
        <v>131388.9</v>
      </c>
      <c r="H138" s="51">
        <f>6263.32*1.2</f>
        <v>7515.9839999999995</v>
      </c>
      <c r="I138" s="51">
        <f>(6263.32-4270.14)*1.2</f>
        <v>2391.8159999999993</v>
      </c>
      <c r="J138" s="51">
        <f>4270.14*1.2</f>
        <v>5124.168000000001</v>
      </c>
      <c r="K138" s="18"/>
      <c r="L138" s="19"/>
      <c r="M138" s="18"/>
      <c r="N138" s="12"/>
    </row>
    <row r="139" spans="1:14" s="6" customFormat="1" ht="165.75">
      <c r="A139" s="50">
        <v>102</v>
      </c>
      <c r="B139" s="50" t="s">
        <v>201</v>
      </c>
      <c r="C139" s="51" t="s">
        <v>202</v>
      </c>
      <c r="D139" s="51" t="s">
        <v>149</v>
      </c>
      <c r="E139" s="52">
        <v>8</v>
      </c>
      <c r="F139" s="51">
        <f>(398.45-3.73)*1.2</f>
        <v>473.66399999999993</v>
      </c>
      <c r="G139" s="51">
        <f>3.73*1.2</f>
        <v>4.476</v>
      </c>
      <c r="H139" s="51">
        <f>3187.6*1.2</f>
        <v>3825.12</v>
      </c>
      <c r="I139" s="51">
        <f>(3187.6-29.84)*1.2</f>
        <v>3789.3119999999994</v>
      </c>
      <c r="J139" s="51">
        <f>29.84*1.2</f>
        <v>35.808</v>
      </c>
      <c r="K139" s="18"/>
      <c r="L139" s="19"/>
      <c r="M139" s="18"/>
      <c r="N139" s="12"/>
    </row>
    <row r="140" spans="1:14" s="6" customFormat="1" ht="12.75">
      <c r="A140" s="50">
        <v>103</v>
      </c>
      <c r="B140" s="50" t="s">
        <v>170</v>
      </c>
      <c r="C140" s="51" t="s">
        <v>171</v>
      </c>
      <c r="D140" s="51" t="s">
        <v>149</v>
      </c>
      <c r="E140" s="52">
        <v>8</v>
      </c>
      <c r="F140" s="51">
        <f>(590.81-590.81)*1.2</f>
        <v>0</v>
      </c>
      <c r="G140" s="51">
        <f>590.81*1.2</f>
        <v>708.9719999999999</v>
      </c>
      <c r="H140" s="51">
        <f>4726.48*1.2</f>
        <v>5671.775999999999</v>
      </c>
      <c r="I140" s="51">
        <f>(4726.48-4726.48)*1.2</f>
        <v>0</v>
      </c>
      <c r="J140" s="51">
        <f>4726.48*1.2</f>
        <v>5671.775999999999</v>
      </c>
      <c r="K140" s="18"/>
      <c r="L140" s="19"/>
      <c r="M140" s="18"/>
      <c r="N140" s="12"/>
    </row>
    <row r="141" spans="1:14" s="6" customFormat="1" ht="18" customHeight="1">
      <c r="A141" s="77" t="s">
        <v>203</v>
      </c>
      <c r="B141" s="78"/>
      <c r="C141" s="78"/>
      <c r="D141" s="78"/>
      <c r="E141" s="78"/>
      <c r="F141" s="78"/>
      <c r="G141" s="78"/>
      <c r="H141" s="78"/>
      <c r="I141" s="78"/>
      <c r="J141" s="78"/>
      <c r="K141" s="18"/>
      <c r="L141" s="19"/>
      <c r="M141" s="18"/>
      <c r="N141" s="12"/>
    </row>
    <row r="142" spans="1:14" s="6" customFormat="1" ht="153">
      <c r="A142" s="50">
        <v>104</v>
      </c>
      <c r="B142" s="50" t="s">
        <v>195</v>
      </c>
      <c r="C142" s="51" t="s">
        <v>204</v>
      </c>
      <c r="D142" s="51" t="s">
        <v>38</v>
      </c>
      <c r="E142" s="52">
        <v>1.476416</v>
      </c>
      <c r="F142" s="51">
        <f>(105491.11-3109.51)*1.2</f>
        <v>122857.92</v>
      </c>
      <c r="G142" s="51">
        <f>3109.51*1.2</f>
        <v>3731.4120000000003</v>
      </c>
      <c r="H142" s="51">
        <f>155748.76*1.2</f>
        <v>186898.51200000002</v>
      </c>
      <c r="I142" s="51">
        <f>(155748.76-4590.93)*1.2</f>
        <v>181389.396</v>
      </c>
      <c r="J142" s="51">
        <f>4590.93*1.2</f>
        <v>5509.116</v>
      </c>
      <c r="K142" s="18"/>
      <c r="L142" s="19"/>
      <c r="M142" s="18"/>
      <c r="N142" s="12"/>
    </row>
    <row r="143" spans="1:14" s="6" customFormat="1" ht="38.25">
      <c r="A143" s="50">
        <v>105</v>
      </c>
      <c r="B143" s="50" t="s">
        <v>205</v>
      </c>
      <c r="C143" s="51" t="s">
        <v>206</v>
      </c>
      <c r="D143" s="51" t="s">
        <v>149</v>
      </c>
      <c r="E143" s="52">
        <v>26</v>
      </c>
      <c r="F143" s="51">
        <f>(33095.63-33095.63)*1.2</f>
        <v>0</v>
      </c>
      <c r="G143" s="51">
        <f>33095.63*1.2</f>
        <v>39714.755999999994</v>
      </c>
      <c r="H143" s="51">
        <f>860486.38*1.2</f>
        <v>1032583.656</v>
      </c>
      <c r="I143" s="51">
        <f>(860486.38-860486.38)*1.2</f>
        <v>0</v>
      </c>
      <c r="J143" s="51">
        <f>860486.38*1.2</f>
        <v>1032583.656</v>
      </c>
      <c r="K143" s="18"/>
      <c r="L143" s="19"/>
      <c r="M143" s="18"/>
      <c r="N143" s="12"/>
    </row>
    <row r="144" spans="1:14" s="6" customFormat="1" ht="38.25">
      <c r="A144" s="50">
        <v>106</v>
      </c>
      <c r="B144" s="50" t="s">
        <v>207</v>
      </c>
      <c r="C144" s="51" t="s">
        <v>208</v>
      </c>
      <c r="D144" s="51" t="s">
        <v>149</v>
      </c>
      <c r="E144" s="52">
        <v>3</v>
      </c>
      <c r="F144" s="51">
        <f>(30289.64-30289.64)*1.2</f>
        <v>0</v>
      </c>
      <c r="G144" s="51">
        <f>30289.64*1.2</f>
        <v>36347.568</v>
      </c>
      <c r="H144" s="51">
        <f>90868.92*1.2</f>
        <v>109042.704</v>
      </c>
      <c r="I144" s="51">
        <f>(90868.92-90868.92)*1.2</f>
        <v>0</v>
      </c>
      <c r="J144" s="51">
        <f>90868.92*1.2</f>
        <v>109042.704</v>
      </c>
      <c r="K144" s="18"/>
      <c r="L144" s="19"/>
      <c r="M144" s="18"/>
      <c r="N144" s="12"/>
    </row>
    <row r="145" spans="1:14" s="6" customFormat="1" ht="165.75">
      <c r="A145" s="50">
        <v>107</v>
      </c>
      <c r="B145" s="50" t="s">
        <v>199</v>
      </c>
      <c r="C145" s="51" t="s">
        <v>209</v>
      </c>
      <c r="D145" s="51" t="s">
        <v>31</v>
      </c>
      <c r="E145" s="52">
        <v>1.03132</v>
      </c>
      <c r="F145" s="51">
        <f>(160597.94-109490.75)*1.2</f>
        <v>61328.628</v>
      </c>
      <c r="G145" s="51">
        <f>109490.75*1.2</f>
        <v>131388.9</v>
      </c>
      <c r="H145" s="51">
        <f>165627.87*1.2</f>
        <v>198753.444</v>
      </c>
      <c r="I145" s="51">
        <f>(165627.87-112920)*1.2</f>
        <v>63249.44399999999</v>
      </c>
      <c r="J145" s="51">
        <f>112920*1.2</f>
        <v>135504</v>
      </c>
      <c r="K145" s="18"/>
      <c r="L145" s="19"/>
      <c r="M145" s="18"/>
      <c r="N145" s="12"/>
    </row>
    <row r="146" spans="1:14" s="6" customFormat="1" ht="18" customHeight="1">
      <c r="A146" s="77" t="s">
        <v>210</v>
      </c>
      <c r="B146" s="78"/>
      <c r="C146" s="78"/>
      <c r="D146" s="78"/>
      <c r="E146" s="78"/>
      <c r="F146" s="78"/>
      <c r="G146" s="78"/>
      <c r="H146" s="78"/>
      <c r="I146" s="78"/>
      <c r="J146" s="78"/>
      <c r="K146" s="18"/>
      <c r="L146" s="19"/>
      <c r="M146" s="18"/>
      <c r="N146" s="12"/>
    </row>
    <row r="147" spans="1:14" s="6" customFormat="1" ht="114.75">
      <c r="A147" s="50">
        <v>108</v>
      </c>
      <c r="B147" s="50" t="s">
        <v>211</v>
      </c>
      <c r="C147" s="51" t="s">
        <v>212</v>
      </c>
      <c r="D147" s="51" t="s">
        <v>149</v>
      </c>
      <c r="E147" s="52">
        <v>244</v>
      </c>
      <c r="F147" s="51">
        <f>(542.12-20.73)*1.2</f>
        <v>625.668</v>
      </c>
      <c r="G147" s="51">
        <f>20.73*1.2</f>
        <v>24.876</v>
      </c>
      <c r="H147" s="51">
        <f>132277.89*1.2</f>
        <v>158733.46800000002</v>
      </c>
      <c r="I147" s="51">
        <f>(132277.89-5058.12)*1.2</f>
        <v>152663.72400000002</v>
      </c>
      <c r="J147" s="51">
        <f>5058.12*1.2</f>
        <v>6069.744</v>
      </c>
      <c r="K147" s="18"/>
      <c r="L147" s="19"/>
      <c r="M147" s="18"/>
      <c r="N147" s="12"/>
    </row>
    <row r="148" spans="1:14" s="6" customFormat="1" ht="25.5">
      <c r="A148" s="53">
        <v>109</v>
      </c>
      <c r="B148" s="53" t="s">
        <v>213</v>
      </c>
      <c r="C148" s="54" t="s">
        <v>214</v>
      </c>
      <c r="D148" s="54" t="s">
        <v>149</v>
      </c>
      <c r="E148" s="55">
        <v>244</v>
      </c>
      <c r="F148" s="54">
        <f>(1118.76-1118.76)*1.2</f>
        <v>0</v>
      </c>
      <c r="G148" s="54">
        <f>1118.76*1.2</f>
        <v>1342.512</v>
      </c>
      <c r="H148" s="54">
        <f>272977.44*1.2</f>
        <v>327572.928</v>
      </c>
      <c r="I148" s="54">
        <f>(272977.44-272977.44)*1.2</f>
        <v>0</v>
      </c>
      <c r="J148" s="54">
        <f>272977.44*1.2</f>
        <v>327572.928</v>
      </c>
      <c r="K148" s="18"/>
      <c r="L148" s="19"/>
      <c r="M148" s="18"/>
      <c r="N148" s="12"/>
    </row>
    <row r="149" spans="1:14" s="6" customFormat="1" ht="18.75" customHeight="1">
      <c r="A149" s="79" t="s">
        <v>215</v>
      </c>
      <c r="B149" s="80"/>
      <c r="C149" s="80"/>
      <c r="D149" s="80"/>
      <c r="E149" s="80"/>
      <c r="F149" s="80"/>
      <c r="G149" s="80"/>
      <c r="H149" s="80"/>
      <c r="I149" s="80"/>
      <c r="J149" s="80"/>
      <c r="K149" s="18"/>
      <c r="L149" s="19"/>
      <c r="M149" s="18"/>
      <c r="N149" s="12"/>
    </row>
    <row r="150" spans="1:14" s="6" customFormat="1" ht="153">
      <c r="A150" s="50">
        <v>110</v>
      </c>
      <c r="B150" s="50" t="s">
        <v>216</v>
      </c>
      <c r="C150" s="51" t="s">
        <v>217</v>
      </c>
      <c r="D150" s="51" t="s">
        <v>31</v>
      </c>
      <c r="E150" s="52">
        <v>0.1966</v>
      </c>
      <c r="F150" s="51">
        <f>(63365.67-5733.45)*1.2</f>
        <v>69158.664</v>
      </c>
      <c r="G150" s="51">
        <f>5733.45*1.2</f>
        <v>6880.139999999999</v>
      </c>
      <c r="H150" s="51">
        <f>12457.69*1.2</f>
        <v>14949.228</v>
      </c>
      <c r="I150" s="51">
        <f>(12457.69-1127.19)*1.2</f>
        <v>13596.6</v>
      </c>
      <c r="J150" s="51">
        <f>1127.19*1.2</f>
        <v>1352.628</v>
      </c>
      <c r="K150" s="18"/>
      <c r="L150" s="19"/>
      <c r="M150" s="18"/>
      <c r="N150" s="12"/>
    </row>
    <row r="151" spans="1:14" s="6" customFormat="1" ht="12.75">
      <c r="A151" s="50">
        <v>111</v>
      </c>
      <c r="B151" s="50" t="s">
        <v>218</v>
      </c>
      <c r="C151" s="51" t="s">
        <v>219</v>
      </c>
      <c r="D151" s="51" t="s">
        <v>60</v>
      </c>
      <c r="E151" s="52">
        <v>19.66</v>
      </c>
      <c r="F151" s="51">
        <f>(472.74-472.74)*1.2</f>
        <v>0</v>
      </c>
      <c r="G151" s="51">
        <f>472.74*1.2</f>
        <v>567.288</v>
      </c>
      <c r="H151" s="51">
        <f>9294.07*1.2</f>
        <v>11152.884</v>
      </c>
      <c r="I151" s="51">
        <f>(9294.07-9294.07)*1.2</f>
        <v>0</v>
      </c>
      <c r="J151" s="51">
        <f>9294.07*1.2</f>
        <v>11152.884</v>
      </c>
      <c r="K151" s="18"/>
      <c r="L151" s="19"/>
      <c r="M151" s="18"/>
      <c r="N151" s="12"/>
    </row>
    <row r="152" spans="1:14" s="6" customFormat="1" ht="25.5">
      <c r="A152" s="50">
        <v>112</v>
      </c>
      <c r="B152" s="50" t="s">
        <v>220</v>
      </c>
      <c r="C152" s="51" t="s">
        <v>221</v>
      </c>
      <c r="D152" s="51" t="s">
        <v>146</v>
      </c>
      <c r="E152" s="52">
        <v>18</v>
      </c>
      <c r="F152" s="51">
        <f>(15.19-15.19)*1.2</f>
        <v>0</v>
      </c>
      <c r="G152" s="51">
        <f>15.19*1.2</f>
        <v>18.227999999999998</v>
      </c>
      <c r="H152" s="51">
        <f>273.42*1.2</f>
        <v>328.104</v>
      </c>
      <c r="I152" s="51">
        <f>(273.42-273.42)*1.2</f>
        <v>0</v>
      </c>
      <c r="J152" s="51">
        <f>273.42*1.2</f>
        <v>328.104</v>
      </c>
      <c r="K152" s="18"/>
      <c r="L152" s="19"/>
      <c r="M152" s="18"/>
      <c r="N152" s="12"/>
    </row>
    <row r="153" spans="1:14" s="6" customFormat="1" ht="153">
      <c r="A153" s="50">
        <v>113</v>
      </c>
      <c r="B153" s="50" t="s">
        <v>222</v>
      </c>
      <c r="C153" s="51" t="s">
        <v>223</v>
      </c>
      <c r="D153" s="51" t="s">
        <v>31</v>
      </c>
      <c r="E153" s="52">
        <v>0.313</v>
      </c>
      <c r="F153" s="51">
        <f>(45967.38-3971.78)*1.2</f>
        <v>50394.719999999994</v>
      </c>
      <c r="G153" s="51">
        <f>3971.78*1.2</f>
        <v>4766.136</v>
      </c>
      <c r="H153" s="51">
        <f>14387.79*1.2</f>
        <v>17265.348</v>
      </c>
      <c r="I153" s="51">
        <f>(14387.79-1243.16)*1.2</f>
        <v>15773.556</v>
      </c>
      <c r="J153" s="51">
        <f>1243.16*1.2</f>
        <v>1491.7920000000001</v>
      </c>
      <c r="K153" s="18"/>
      <c r="L153" s="19"/>
      <c r="M153" s="18"/>
      <c r="N153" s="12"/>
    </row>
    <row r="154" spans="1:14" s="6" customFormat="1" ht="12.75">
      <c r="A154" s="50">
        <v>114</v>
      </c>
      <c r="B154" s="50" t="s">
        <v>218</v>
      </c>
      <c r="C154" s="51" t="s">
        <v>219</v>
      </c>
      <c r="D154" s="51" t="s">
        <v>60</v>
      </c>
      <c r="E154" s="52">
        <v>31.3</v>
      </c>
      <c r="F154" s="51">
        <f>(472.74-472.74)*1.2</f>
        <v>0</v>
      </c>
      <c r="G154" s="51">
        <f>472.74*1.2</f>
        <v>567.288</v>
      </c>
      <c r="H154" s="51">
        <f>14796.76*1.2</f>
        <v>17756.112</v>
      </c>
      <c r="I154" s="51">
        <f>(14796.76-14796.76)*1.2</f>
        <v>0</v>
      </c>
      <c r="J154" s="51">
        <f>14796.76*1.2</f>
        <v>17756.112</v>
      </c>
      <c r="K154" s="18"/>
      <c r="L154" s="19"/>
      <c r="M154" s="18"/>
      <c r="N154" s="12"/>
    </row>
    <row r="155" spans="1:14" s="6" customFormat="1" ht="25.5">
      <c r="A155" s="50">
        <v>115</v>
      </c>
      <c r="B155" s="50" t="s">
        <v>220</v>
      </c>
      <c r="C155" s="51" t="s">
        <v>221</v>
      </c>
      <c r="D155" s="51" t="s">
        <v>146</v>
      </c>
      <c r="E155" s="52">
        <v>14</v>
      </c>
      <c r="F155" s="51">
        <f>(15.19-15.19)*1.2</f>
        <v>0</v>
      </c>
      <c r="G155" s="51">
        <f>15.19*1.2</f>
        <v>18.227999999999998</v>
      </c>
      <c r="H155" s="51">
        <f>212.66*1.2</f>
        <v>255.19199999999998</v>
      </c>
      <c r="I155" s="51">
        <f>(212.66-212.66)*1.2</f>
        <v>0</v>
      </c>
      <c r="J155" s="51">
        <f>212.66*1.2</f>
        <v>255.19199999999998</v>
      </c>
      <c r="K155" s="18"/>
      <c r="L155" s="19"/>
      <c r="M155" s="18"/>
      <c r="N155" s="12"/>
    </row>
    <row r="156" spans="1:14" s="6" customFormat="1" ht="204">
      <c r="A156" s="50">
        <v>116</v>
      </c>
      <c r="B156" s="50" t="s">
        <v>224</v>
      </c>
      <c r="C156" s="51" t="s">
        <v>225</v>
      </c>
      <c r="D156" s="51" t="s">
        <v>31</v>
      </c>
      <c r="E156" s="52">
        <v>1.5096</v>
      </c>
      <c r="F156" s="51">
        <f>(11268.11-906.62)*1.2</f>
        <v>12433.787999999999</v>
      </c>
      <c r="G156" s="51">
        <f>906.62*1.2</f>
        <v>1087.944</v>
      </c>
      <c r="H156" s="51">
        <f>17010.34*1.2</f>
        <v>20412.408</v>
      </c>
      <c r="I156" s="51">
        <f>(17010.34-1368.63)*1.2</f>
        <v>18770.052</v>
      </c>
      <c r="J156" s="51">
        <f>1368.63*1.2</f>
        <v>1642.356</v>
      </c>
      <c r="K156" s="18"/>
      <c r="L156" s="19"/>
      <c r="M156" s="18"/>
      <c r="N156" s="12"/>
    </row>
    <row r="157" spans="1:14" s="6" customFormat="1" ht="12.75">
      <c r="A157" s="53">
        <v>117</v>
      </c>
      <c r="B157" s="53" t="s">
        <v>226</v>
      </c>
      <c r="C157" s="54" t="s">
        <v>227</v>
      </c>
      <c r="D157" s="54" t="s">
        <v>60</v>
      </c>
      <c r="E157" s="55">
        <v>131.3</v>
      </c>
      <c r="F157" s="54">
        <f>(151.52-151.52)*1.2</f>
        <v>0</v>
      </c>
      <c r="G157" s="54">
        <f>151.52*1.2</f>
        <v>181.824</v>
      </c>
      <c r="H157" s="54">
        <f>19894.58*1.2</f>
        <v>23873.496000000003</v>
      </c>
      <c r="I157" s="54">
        <f>(19894.58-19894.58)*1.2</f>
        <v>0</v>
      </c>
      <c r="J157" s="54">
        <f>19894.58*1.2</f>
        <v>23873.496000000003</v>
      </c>
      <c r="K157" s="18"/>
      <c r="L157" s="19"/>
      <c r="M157" s="18"/>
      <c r="N157" s="12"/>
    </row>
    <row r="158" spans="1:14" s="6" customFormat="1" ht="18.75" customHeight="1">
      <c r="A158" s="79" t="s">
        <v>228</v>
      </c>
      <c r="B158" s="80"/>
      <c r="C158" s="80"/>
      <c r="D158" s="80"/>
      <c r="E158" s="80"/>
      <c r="F158" s="80"/>
      <c r="G158" s="80"/>
      <c r="H158" s="80"/>
      <c r="I158" s="80"/>
      <c r="J158" s="80"/>
      <c r="K158" s="18"/>
      <c r="L158" s="19"/>
      <c r="M158" s="18"/>
      <c r="N158" s="12"/>
    </row>
    <row r="159" spans="1:14" s="6" customFormat="1" ht="153">
      <c r="A159" s="50">
        <v>118</v>
      </c>
      <c r="B159" s="50" t="s">
        <v>195</v>
      </c>
      <c r="C159" s="51" t="s">
        <v>229</v>
      </c>
      <c r="D159" s="51" t="s">
        <v>38</v>
      </c>
      <c r="E159" s="52">
        <v>0.4566</v>
      </c>
      <c r="F159" s="51">
        <f>(105491.11-3109.51)*1.2</f>
        <v>122857.92</v>
      </c>
      <c r="G159" s="51">
        <f>3109.51*1.2</f>
        <v>3731.4120000000003</v>
      </c>
      <c r="H159" s="51">
        <f>48167.24*1.2</f>
        <v>57800.687999999995</v>
      </c>
      <c r="I159" s="51">
        <f>(48167.24-1419.8)*1.2</f>
        <v>56096.92799999999</v>
      </c>
      <c r="J159" s="51">
        <f>1419.8*1.2</f>
        <v>1703.76</v>
      </c>
      <c r="K159" s="18"/>
      <c r="L159" s="19"/>
      <c r="M159" s="18"/>
      <c r="N159" s="12"/>
    </row>
    <row r="160" spans="1:14" s="6" customFormat="1" ht="12.75">
      <c r="A160" s="50">
        <v>119</v>
      </c>
      <c r="B160" s="50" t="s">
        <v>230</v>
      </c>
      <c r="C160" s="51" t="s">
        <v>231</v>
      </c>
      <c r="D160" s="51" t="s">
        <v>60</v>
      </c>
      <c r="E160" s="52">
        <v>45.66</v>
      </c>
      <c r="F160" s="51">
        <f>(4725.76-4725.76)*1.2</f>
        <v>0</v>
      </c>
      <c r="G160" s="51">
        <f>4725.76*1.2</f>
        <v>5670.912</v>
      </c>
      <c r="H160" s="51">
        <f>215778.2*1.2</f>
        <v>258933.84</v>
      </c>
      <c r="I160" s="51">
        <f>(215778.2-215778.2)*1.2</f>
        <v>0</v>
      </c>
      <c r="J160" s="51">
        <f>215778.2*1.2</f>
        <v>258933.84</v>
      </c>
      <c r="K160" s="18"/>
      <c r="L160" s="19"/>
      <c r="M160" s="18"/>
      <c r="N160" s="12"/>
    </row>
    <row r="161" spans="1:14" s="6" customFormat="1" ht="165.75">
      <c r="A161" s="53">
        <v>120</v>
      </c>
      <c r="B161" s="53" t="s">
        <v>232</v>
      </c>
      <c r="C161" s="54" t="s">
        <v>233</v>
      </c>
      <c r="D161" s="54" t="s">
        <v>31</v>
      </c>
      <c r="E161" s="55">
        <v>0.43377</v>
      </c>
      <c r="F161" s="54">
        <f>(153581.58-108827.58)*1.2</f>
        <v>53704.79999999998</v>
      </c>
      <c r="G161" s="54">
        <f>108827.58*1.2</f>
        <v>130593.09599999999</v>
      </c>
      <c r="H161" s="54">
        <f>66619.08*1.2</f>
        <v>79942.896</v>
      </c>
      <c r="I161" s="54">
        <f>(66619.08-47206.15)*1.2</f>
        <v>23295.516</v>
      </c>
      <c r="J161" s="54">
        <f>47206.15*1.2</f>
        <v>56647.38</v>
      </c>
      <c r="K161" s="18"/>
      <c r="L161" s="19"/>
      <c r="M161" s="18"/>
      <c r="N161" s="12"/>
    </row>
    <row r="162" spans="1:14" s="6" customFormat="1" ht="18.75" customHeight="1">
      <c r="A162" s="79" t="s">
        <v>234</v>
      </c>
      <c r="B162" s="80"/>
      <c r="C162" s="80"/>
      <c r="D162" s="80"/>
      <c r="E162" s="80"/>
      <c r="F162" s="80"/>
      <c r="G162" s="80"/>
      <c r="H162" s="80"/>
      <c r="I162" s="80"/>
      <c r="J162" s="80"/>
      <c r="K162" s="18"/>
      <c r="L162" s="19"/>
      <c r="M162" s="18"/>
      <c r="N162" s="12"/>
    </row>
    <row r="163" spans="1:14" s="6" customFormat="1" ht="18" customHeight="1">
      <c r="A163" s="77" t="s">
        <v>235</v>
      </c>
      <c r="B163" s="78"/>
      <c r="C163" s="78"/>
      <c r="D163" s="78"/>
      <c r="E163" s="78"/>
      <c r="F163" s="78"/>
      <c r="G163" s="78"/>
      <c r="H163" s="78"/>
      <c r="I163" s="78"/>
      <c r="J163" s="78"/>
      <c r="K163" s="18"/>
      <c r="L163" s="19"/>
      <c r="M163" s="18"/>
      <c r="N163" s="12"/>
    </row>
    <row r="164" spans="1:14" s="6" customFormat="1" ht="140.25">
      <c r="A164" s="50">
        <v>121</v>
      </c>
      <c r="B164" s="50" t="s">
        <v>236</v>
      </c>
      <c r="C164" s="51" t="s">
        <v>237</v>
      </c>
      <c r="D164" s="51" t="s">
        <v>31</v>
      </c>
      <c r="E164" s="52">
        <v>2.1862</v>
      </c>
      <c r="F164" s="51">
        <f>(12403.97-65.7)*1.2</f>
        <v>14805.923999999997</v>
      </c>
      <c r="G164" s="51">
        <f>65.7*1.2</f>
        <v>78.84</v>
      </c>
      <c r="H164" s="51">
        <f>27117.55*1.2</f>
        <v>32541.059999999998</v>
      </c>
      <c r="I164" s="51">
        <f>(27117.55-143.63)*1.2</f>
        <v>32368.703999999998</v>
      </c>
      <c r="J164" s="51">
        <f>143.63*1.2</f>
        <v>172.356</v>
      </c>
      <c r="K164" s="18"/>
      <c r="L164" s="19"/>
      <c r="M164" s="18"/>
      <c r="N164" s="12"/>
    </row>
    <row r="165" spans="1:14" s="6" customFormat="1" ht="12.75">
      <c r="A165" s="50">
        <v>122</v>
      </c>
      <c r="B165" s="50" t="s">
        <v>238</v>
      </c>
      <c r="C165" s="51" t="s">
        <v>239</v>
      </c>
      <c r="D165" s="51" t="s">
        <v>81</v>
      </c>
      <c r="E165" s="52">
        <v>4.46</v>
      </c>
      <c r="F165" s="51">
        <f>(3051.4-3051.4)*1.2</f>
        <v>0</v>
      </c>
      <c r="G165" s="51">
        <f>3051.4*1.2</f>
        <v>3661.68</v>
      </c>
      <c r="H165" s="51">
        <f>13609.24*1.2</f>
        <v>16331.088</v>
      </c>
      <c r="I165" s="51">
        <f>(13609.24-13609.24)*1.2</f>
        <v>0</v>
      </c>
      <c r="J165" s="51">
        <f>13609.24*1.2</f>
        <v>16331.088</v>
      </c>
      <c r="K165" s="18"/>
      <c r="L165" s="19"/>
      <c r="M165" s="18"/>
      <c r="N165" s="12"/>
    </row>
    <row r="166" spans="1:14" s="6" customFormat="1" ht="178.5">
      <c r="A166" s="50">
        <v>123</v>
      </c>
      <c r="B166" s="50" t="s">
        <v>240</v>
      </c>
      <c r="C166" s="51" t="s">
        <v>241</v>
      </c>
      <c r="D166" s="51" t="s">
        <v>81</v>
      </c>
      <c r="E166" s="52">
        <v>7.6517</v>
      </c>
      <c r="F166" s="51">
        <f>(4017.79-752.57)*1.2</f>
        <v>3918.2639999999997</v>
      </c>
      <c r="G166" s="51">
        <f>752.57*1.2</f>
        <v>903.0840000000001</v>
      </c>
      <c r="H166" s="51">
        <f>30742.89*1.2</f>
        <v>36891.468</v>
      </c>
      <c r="I166" s="51">
        <f>(30742.89-5758.44)*1.2</f>
        <v>29981.34</v>
      </c>
      <c r="J166" s="51">
        <f>5758.44*1.2</f>
        <v>6910.128</v>
      </c>
      <c r="K166" s="18"/>
      <c r="L166" s="19"/>
      <c r="M166" s="18"/>
      <c r="N166" s="12"/>
    </row>
    <row r="167" spans="1:14" s="6" customFormat="1" ht="12.75">
      <c r="A167" s="50">
        <v>124</v>
      </c>
      <c r="B167" s="50" t="s">
        <v>242</v>
      </c>
      <c r="C167" s="51" t="s">
        <v>243</v>
      </c>
      <c r="D167" s="51" t="s">
        <v>81</v>
      </c>
      <c r="E167" s="52">
        <v>7.575</v>
      </c>
      <c r="F167" s="51">
        <f>(2045.96-2045.96)*1.2</f>
        <v>0</v>
      </c>
      <c r="G167" s="51">
        <f>2045.96*1.2</f>
        <v>2455.152</v>
      </c>
      <c r="H167" s="51">
        <f>15498.15*1.2</f>
        <v>18597.78</v>
      </c>
      <c r="I167" s="51">
        <f>(15498.15-15498.15)*1.2</f>
        <v>0</v>
      </c>
      <c r="J167" s="51">
        <f>15498.15*1.2</f>
        <v>18597.78</v>
      </c>
      <c r="K167" s="18"/>
      <c r="L167" s="19"/>
      <c r="M167" s="18"/>
      <c r="N167" s="12"/>
    </row>
    <row r="168" spans="1:14" s="6" customFormat="1" ht="153">
      <c r="A168" s="50">
        <v>125</v>
      </c>
      <c r="B168" s="50" t="s">
        <v>244</v>
      </c>
      <c r="C168" s="51" t="s">
        <v>245</v>
      </c>
      <c r="D168" s="51" t="s">
        <v>131</v>
      </c>
      <c r="E168" s="52">
        <v>2.339</v>
      </c>
      <c r="F168" s="51">
        <f>(773.95-57.85)*1.2</f>
        <v>859.32</v>
      </c>
      <c r="G168" s="51">
        <f>57.85*1.2</f>
        <v>69.42</v>
      </c>
      <c r="H168" s="51">
        <f>1810.27*1.2</f>
        <v>2172.324</v>
      </c>
      <c r="I168" s="51">
        <f>(1810.27-135.31)*1.2</f>
        <v>2009.952</v>
      </c>
      <c r="J168" s="51">
        <f>135.31*1.2</f>
        <v>162.37199999999999</v>
      </c>
      <c r="K168" s="18"/>
      <c r="L168" s="19"/>
      <c r="M168" s="18"/>
      <c r="N168" s="12"/>
    </row>
    <row r="169" spans="1:14" s="6" customFormat="1" ht="25.5">
      <c r="A169" s="50">
        <v>126</v>
      </c>
      <c r="B169" s="50" t="s">
        <v>246</v>
      </c>
      <c r="C169" s="51" t="s">
        <v>247</v>
      </c>
      <c r="D169" s="51" t="s">
        <v>248</v>
      </c>
      <c r="E169" s="52">
        <v>23.39</v>
      </c>
      <c r="F169" s="51">
        <f>(58.7-58.7)*1.2</f>
        <v>0</v>
      </c>
      <c r="G169" s="51">
        <f>58.7*1.2</f>
        <v>70.44</v>
      </c>
      <c r="H169" s="51">
        <f>1372.99*1.2</f>
        <v>1647.588</v>
      </c>
      <c r="I169" s="51">
        <f>(1372.99-1372.99)*1.2</f>
        <v>0</v>
      </c>
      <c r="J169" s="51">
        <f>1372.99*1.2</f>
        <v>1647.588</v>
      </c>
      <c r="K169" s="18"/>
      <c r="L169" s="19"/>
      <c r="M169" s="18"/>
      <c r="N169" s="12"/>
    </row>
    <row r="170" spans="1:14" s="6" customFormat="1" ht="153">
      <c r="A170" s="50">
        <v>127</v>
      </c>
      <c r="B170" s="50" t="s">
        <v>249</v>
      </c>
      <c r="C170" s="51" t="s">
        <v>250</v>
      </c>
      <c r="D170" s="51" t="s">
        <v>31</v>
      </c>
      <c r="E170" s="52">
        <v>2.1862</v>
      </c>
      <c r="F170" s="51">
        <f>(3346.05-2228.9)*1.2</f>
        <v>1340.5800000000002</v>
      </c>
      <c r="G170" s="51">
        <f>2228.9*1.2</f>
        <v>2674.68</v>
      </c>
      <c r="H170" s="51">
        <f>7315.14*1.2</f>
        <v>8778.168</v>
      </c>
      <c r="I170" s="51">
        <f>(7315.14-4872.83)*1.2</f>
        <v>2930.7720000000004</v>
      </c>
      <c r="J170" s="51">
        <f>4872.83*1.2</f>
        <v>5847.396</v>
      </c>
      <c r="K170" s="18"/>
      <c r="L170" s="19"/>
      <c r="M170" s="18"/>
      <c r="N170" s="12"/>
    </row>
    <row r="171" spans="1:14" s="6" customFormat="1" ht="140.25">
      <c r="A171" s="50">
        <v>128</v>
      </c>
      <c r="B171" s="50" t="s">
        <v>251</v>
      </c>
      <c r="C171" s="51" t="s">
        <v>252</v>
      </c>
      <c r="D171" s="51" t="s">
        <v>31</v>
      </c>
      <c r="E171" s="52">
        <v>2.1862</v>
      </c>
      <c r="F171" s="51">
        <f>(13858.59-65.7)*1.2</f>
        <v>16551.467999999997</v>
      </c>
      <c r="G171" s="51">
        <f>65.7*1.2</f>
        <v>78.84</v>
      </c>
      <c r="H171" s="51">
        <f>30297.64*1.2</f>
        <v>36357.168</v>
      </c>
      <c r="I171" s="51">
        <f>(30297.64-143.63)*1.2</f>
        <v>36184.812</v>
      </c>
      <c r="J171" s="51">
        <f>143.63*1.2</f>
        <v>172.356</v>
      </c>
      <c r="K171" s="18"/>
      <c r="L171" s="19"/>
      <c r="M171" s="18"/>
      <c r="N171" s="12"/>
    </row>
    <row r="172" spans="1:14" s="6" customFormat="1" ht="12.75">
      <c r="A172" s="50">
        <v>129</v>
      </c>
      <c r="B172" s="50" t="s">
        <v>253</v>
      </c>
      <c r="C172" s="51" t="s">
        <v>254</v>
      </c>
      <c r="D172" s="51" t="s">
        <v>81</v>
      </c>
      <c r="E172" s="52">
        <v>6.69</v>
      </c>
      <c r="F172" s="51">
        <f>(3217.53-3217.53)*1.2</f>
        <v>0</v>
      </c>
      <c r="G172" s="51">
        <f>3217.53*1.2</f>
        <v>3861.036</v>
      </c>
      <c r="H172" s="51">
        <f>21525.28*1.2</f>
        <v>25830.336</v>
      </c>
      <c r="I172" s="51">
        <f>(21525.28-21525.28)*1.2</f>
        <v>0</v>
      </c>
      <c r="J172" s="51">
        <f>21525.28*1.2</f>
        <v>25830.336</v>
      </c>
      <c r="K172" s="18"/>
      <c r="L172" s="19"/>
      <c r="M172" s="18"/>
      <c r="N172" s="12"/>
    </row>
    <row r="173" spans="1:14" s="6" customFormat="1" ht="127.5">
      <c r="A173" s="50">
        <v>130</v>
      </c>
      <c r="B173" s="50" t="s">
        <v>255</v>
      </c>
      <c r="C173" s="51" t="s">
        <v>256</v>
      </c>
      <c r="D173" s="51" t="s">
        <v>31</v>
      </c>
      <c r="E173" s="52">
        <v>2.1862</v>
      </c>
      <c r="F173" s="51">
        <f>(2564.41-0)*1.2</f>
        <v>3077.292</v>
      </c>
      <c r="G173" s="51">
        <f>0*1.2</f>
        <v>0</v>
      </c>
      <c r="H173" s="51">
        <f>5606.32*1.2</f>
        <v>6727.584</v>
      </c>
      <c r="I173" s="51">
        <f>(5606.32-0)*1.2</f>
        <v>6727.584</v>
      </c>
      <c r="J173" s="51">
        <f>0*1.2</f>
        <v>0</v>
      </c>
      <c r="K173" s="18"/>
      <c r="L173" s="19"/>
      <c r="M173" s="18"/>
      <c r="N173" s="12"/>
    </row>
    <row r="174" spans="1:14" s="6" customFormat="1" ht="12.75">
      <c r="A174" s="50">
        <v>131</v>
      </c>
      <c r="B174" s="50" t="s">
        <v>253</v>
      </c>
      <c r="C174" s="51" t="s">
        <v>254</v>
      </c>
      <c r="D174" s="51" t="s">
        <v>81</v>
      </c>
      <c r="E174" s="52">
        <v>6.467</v>
      </c>
      <c r="F174" s="51">
        <f>(3217.53-3217.53)*1.2</f>
        <v>0</v>
      </c>
      <c r="G174" s="51">
        <f>3217.53*1.2</f>
        <v>3861.036</v>
      </c>
      <c r="H174" s="51">
        <f>20807.77*1.2</f>
        <v>24969.324</v>
      </c>
      <c r="I174" s="51">
        <f>(20807.77-20807.77)*1.2</f>
        <v>0</v>
      </c>
      <c r="J174" s="51">
        <f>20807.77*1.2</f>
        <v>24969.324</v>
      </c>
      <c r="K174" s="18"/>
      <c r="L174" s="19"/>
      <c r="M174" s="18"/>
      <c r="N174" s="12"/>
    </row>
    <row r="175" spans="1:14" s="6" customFormat="1" ht="216.75">
      <c r="A175" s="50">
        <v>132</v>
      </c>
      <c r="B175" s="50" t="s">
        <v>257</v>
      </c>
      <c r="C175" s="51" t="s">
        <v>258</v>
      </c>
      <c r="D175" s="51" t="s">
        <v>31</v>
      </c>
      <c r="E175" s="52">
        <v>2.1862</v>
      </c>
      <c r="F175" s="51">
        <f>(20553.4-6057.66)*1.2</f>
        <v>17394.888000000003</v>
      </c>
      <c r="G175" s="51">
        <f>6057.66*1.2</f>
        <v>7269.192</v>
      </c>
      <c r="H175" s="51">
        <f>44933.85*1.2</f>
        <v>53920.619999999995</v>
      </c>
      <c r="I175" s="51">
        <f>(44933.85-13243.25)*1.2</f>
        <v>38028.719999999994</v>
      </c>
      <c r="J175" s="51">
        <f>13243.25*1.2</f>
        <v>15891.9</v>
      </c>
      <c r="K175" s="18"/>
      <c r="L175" s="19"/>
      <c r="M175" s="18"/>
      <c r="N175" s="12"/>
    </row>
    <row r="176" spans="1:14" s="6" customFormat="1" ht="38.25">
      <c r="A176" s="50">
        <v>133</v>
      </c>
      <c r="B176" s="50" t="s">
        <v>259</v>
      </c>
      <c r="C176" s="51" t="s">
        <v>260</v>
      </c>
      <c r="D176" s="51" t="s">
        <v>60</v>
      </c>
      <c r="E176" s="52">
        <v>223</v>
      </c>
      <c r="F176" s="51">
        <f>(446.75-446.75)*1.2</f>
        <v>0</v>
      </c>
      <c r="G176" s="51">
        <f>446.75*1.2</f>
        <v>536.1</v>
      </c>
      <c r="H176" s="51">
        <f>99625.25*1.2</f>
        <v>119550.29999999999</v>
      </c>
      <c r="I176" s="51">
        <f>(99625.25-99625.25)*1.2</f>
        <v>0</v>
      </c>
      <c r="J176" s="51">
        <f>99625.25*1.2</f>
        <v>119550.29999999999</v>
      </c>
      <c r="K176" s="18"/>
      <c r="L176" s="19"/>
      <c r="M176" s="18"/>
      <c r="N176" s="12"/>
    </row>
    <row r="177" spans="1:14" s="6" customFormat="1" ht="216.75">
      <c r="A177" s="50">
        <v>134</v>
      </c>
      <c r="B177" s="50" t="s">
        <v>261</v>
      </c>
      <c r="C177" s="51" t="s">
        <v>262</v>
      </c>
      <c r="D177" s="51" t="s">
        <v>131</v>
      </c>
      <c r="E177" s="52">
        <v>2.339</v>
      </c>
      <c r="F177" s="51">
        <f>(2517.4-200.14)*1.2</f>
        <v>2780.712</v>
      </c>
      <c r="G177" s="51">
        <f>200.14*1.2</f>
        <v>240.16799999999998</v>
      </c>
      <c r="H177" s="51">
        <f>5888.19*1.2</f>
        <v>7065.8279999999995</v>
      </c>
      <c r="I177" s="51">
        <f>(5888.19-468.12)*1.2</f>
        <v>6504.084</v>
      </c>
      <c r="J177" s="51">
        <f>468.12*1.2</f>
        <v>561.744</v>
      </c>
      <c r="K177" s="18"/>
      <c r="L177" s="19"/>
      <c r="M177" s="18"/>
      <c r="N177" s="12"/>
    </row>
    <row r="178" spans="1:14" s="6" customFormat="1" ht="12.75">
      <c r="A178" s="50">
        <v>135</v>
      </c>
      <c r="B178" s="50" t="s">
        <v>263</v>
      </c>
      <c r="C178" s="51" t="s">
        <v>264</v>
      </c>
      <c r="D178" s="51" t="s">
        <v>134</v>
      </c>
      <c r="E178" s="52">
        <v>236.2</v>
      </c>
      <c r="F178" s="51">
        <f>(7.87-7.87)*1.2</f>
        <v>0</v>
      </c>
      <c r="G178" s="51">
        <f>7.87*1.2</f>
        <v>9.443999999999999</v>
      </c>
      <c r="H178" s="51">
        <f>1858.89*1.2</f>
        <v>2230.668</v>
      </c>
      <c r="I178" s="51">
        <f>(1858.89-1858.89)*1.2</f>
        <v>0</v>
      </c>
      <c r="J178" s="51">
        <f>1858.89*1.2</f>
        <v>2230.668</v>
      </c>
      <c r="K178" s="18"/>
      <c r="L178" s="19"/>
      <c r="M178" s="18"/>
      <c r="N178" s="12"/>
    </row>
    <row r="179" spans="1:14" s="6" customFormat="1" ht="12.75">
      <c r="A179" s="50">
        <v>136</v>
      </c>
      <c r="B179" s="50" t="s">
        <v>265</v>
      </c>
      <c r="C179" s="51" t="s">
        <v>266</v>
      </c>
      <c r="D179" s="51" t="s">
        <v>267</v>
      </c>
      <c r="E179" s="52">
        <v>0.1871</v>
      </c>
      <c r="F179" s="51">
        <f>(618.01-618)*1.2</f>
        <v>0.011999999999989085</v>
      </c>
      <c r="G179" s="51">
        <f>618*1.2</f>
        <v>741.6</v>
      </c>
      <c r="H179" s="51">
        <f>115.63*1.2</f>
        <v>138.756</v>
      </c>
      <c r="I179" s="51">
        <f>(115.63-115.63)*1.2</f>
        <v>0</v>
      </c>
      <c r="J179" s="51">
        <f>115.63*1.2</f>
        <v>138.756</v>
      </c>
      <c r="K179" s="18"/>
      <c r="L179" s="19"/>
      <c r="M179" s="18"/>
      <c r="N179" s="12"/>
    </row>
    <row r="180" spans="1:14" s="6" customFormat="1" ht="12.75">
      <c r="A180" s="50">
        <v>137</v>
      </c>
      <c r="B180" s="50" t="s">
        <v>268</v>
      </c>
      <c r="C180" s="51" t="s">
        <v>269</v>
      </c>
      <c r="D180" s="51" t="s">
        <v>267</v>
      </c>
      <c r="E180" s="52">
        <v>0.1871</v>
      </c>
      <c r="F180" s="51">
        <f>(618.01-618)*1.2</f>
        <v>0.011999999999989085</v>
      </c>
      <c r="G180" s="51">
        <f>618*1.2</f>
        <v>741.6</v>
      </c>
      <c r="H180" s="51">
        <f>115.63*1.2</f>
        <v>138.756</v>
      </c>
      <c r="I180" s="51">
        <f>(115.63-115.63)*1.2</f>
        <v>0</v>
      </c>
      <c r="J180" s="51">
        <f>115.63*1.2</f>
        <v>138.756</v>
      </c>
      <c r="K180" s="18"/>
      <c r="L180" s="19"/>
      <c r="M180" s="18"/>
      <c r="N180" s="12"/>
    </row>
    <row r="181" spans="1:14" s="6" customFormat="1" ht="12.75">
      <c r="A181" s="50">
        <v>138</v>
      </c>
      <c r="B181" s="50" t="s">
        <v>270</v>
      </c>
      <c r="C181" s="51" t="s">
        <v>271</v>
      </c>
      <c r="D181" s="51" t="s">
        <v>267</v>
      </c>
      <c r="E181" s="52">
        <v>0.9356</v>
      </c>
      <c r="F181" s="51">
        <f>(879-879)*1.2</f>
        <v>0</v>
      </c>
      <c r="G181" s="51">
        <f>879*1.2</f>
        <v>1054.8</v>
      </c>
      <c r="H181" s="51">
        <f>822.39*1.2</f>
        <v>986.8679999999999</v>
      </c>
      <c r="I181" s="51">
        <f>(822.39-822.39)*1.2</f>
        <v>0</v>
      </c>
      <c r="J181" s="51">
        <f>822.39*1.2</f>
        <v>986.8679999999999</v>
      </c>
      <c r="K181" s="18"/>
      <c r="L181" s="19"/>
      <c r="M181" s="18"/>
      <c r="N181" s="12"/>
    </row>
    <row r="182" spans="1:14" s="6" customFormat="1" ht="12.75">
      <c r="A182" s="50">
        <v>139</v>
      </c>
      <c r="B182" s="50" t="s">
        <v>272</v>
      </c>
      <c r="C182" s="51" t="s">
        <v>273</v>
      </c>
      <c r="D182" s="51" t="s">
        <v>267</v>
      </c>
      <c r="E182" s="52">
        <v>0.1637</v>
      </c>
      <c r="F182" s="51">
        <f>(792.98-793)*1.2</f>
        <v>-0.02399999999997817</v>
      </c>
      <c r="G182" s="51">
        <f>793*1.2</f>
        <v>951.5999999999999</v>
      </c>
      <c r="H182" s="51">
        <f>129.81*1.2</f>
        <v>155.772</v>
      </c>
      <c r="I182" s="51">
        <f>(129.81-129.81)*1.2</f>
        <v>0</v>
      </c>
      <c r="J182" s="51">
        <f>129.81*1.2</f>
        <v>155.772</v>
      </c>
      <c r="K182" s="18"/>
      <c r="L182" s="19"/>
      <c r="M182" s="18"/>
      <c r="N182" s="12"/>
    </row>
    <row r="183" spans="1:14" s="6" customFormat="1" ht="12.75">
      <c r="A183" s="50">
        <v>140</v>
      </c>
      <c r="B183" s="50" t="s">
        <v>274</v>
      </c>
      <c r="C183" s="51" t="s">
        <v>275</v>
      </c>
      <c r="D183" s="51" t="s">
        <v>267</v>
      </c>
      <c r="E183" s="52">
        <v>0.1637</v>
      </c>
      <c r="F183" s="51">
        <f>(792.98-793)*1.2</f>
        <v>-0.02399999999997817</v>
      </c>
      <c r="G183" s="51">
        <f>793*1.2</f>
        <v>951.5999999999999</v>
      </c>
      <c r="H183" s="51">
        <f>129.81*1.2</f>
        <v>155.772</v>
      </c>
      <c r="I183" s="51">
        <f>(129.81-129.81)*1.2</f>
        <v>0</v>
      </c>
      <c r="J183" s="51">
        <f>129.81*1.2</f>
        <v>155.772</v>
      </c>
      <c r="K183" s="18"/>
      <c r="L183" s="19"/>
      <c r="M183" s="18"/>
      <c r="N183" s="12"/>
    </row>
    <row r="184" spans="1:14" s="6" customFormat="1" ht="18" customHeight="1">
      <c r="A184" s="77" t="s">
        <v>276</v>
      </c>
      <c r="B184" s="78"/>
      <c r="C184" s="78"/>
      <c r="D184" s="78"/>
      <c r="E184" s="78"/>
      <c r="F184" s="78"/>
      <c r="G184" s="78"/>
      <c r="H184" s="78"/>
      <c r="I184" s="78"/>
      <c r="J184" s="78"/>
      <c r="K184" s="18"/>
      <c r="L184" s="19"/>
      <c r="M184" s="18"/>
      <c r="N184" s="12"/>
    </row>
    <row r="185" spans="1:14" s="6" customFormat="1" ht="140.25">
      <c r="A185" s="50">
        <v>141</v>
      </c>
      <c r="B185" s="50" t="s">
        <v>236</v>
      </c>
      <c r="C185" s="51" t="s">
        <v>277</v>
      </c>
      <c r="D185" s="51" t="s">
        <v>31</v>
      </c>
      <c r="E185" s="52">
        <v>2.714</v>
      </c>
      <c r="F185" s="51">
        <f>(12403.96-65.7)*1.2</f>
        <v>14805.911999999997</v>
      </c>
      <c r="G185" s="51">
        <f>65.7*1.2</f>
        <v>78.84</v>
      </c>
      <c r="H185" s="51">
        <f>33664.36*1.2</f>
        <v>40397.231999999996</v>
      </c>
      <c r="I185" s="51">
        <f>(33664.36-178.32)*1.2</f>
        <v>40183.248</v>
      </c>
      <c r="J185" s="51">
        <f>178.32*1.2</f>
        <v>213.98399999999998</v>
      </c>
      <c r="K185" s="18"/>
      <c r="L185" s="19"/>
      <c r="M185" s="18"/>
      <c r="N185" s="12"/>
    </row>
    <row r="186" spans="1:14" s="6" customFormat="1" ht="12.75">
      <c r="A186" s="50">
        <v>142</v>
      </c>
      <c r="B186" s="50" t="s">
        <v>238</v>
      </c>
      <c r="C186" s="51" t="s">
        <v>239</v>
      </c>
      <c r="D186" s="51" t="s">
        <v>81</v>
      </c>
      <c r="E186" s="52">
        <v>5.537</v>
      </c>
      <c r="F186" s="51">
        <f>(3051.4-3051.4)*1.2</f>
        <v>0</v>
      </c>
      <c r="G186" s="51">
        <f>3051.4*1.2</f>
        <v>3661.68</v>
      </c>
      <c r="H186" s="51">
        <f>16895.6*1.2</f>
        <v>20274.719999999998</v>
      </c>
      <c r="I186" s="51">
        <f>(16895.6-16895.6)*1.2</f>
        <v>0</v>
      </c>
      <c r="J186" s="51">
        <f>16895.6*1.2</f>
        <v>20274.719999999998</v>
      </c>
      <c r="K186" s="18"/>
      <c r="L186" s="19"/>
      <c r="M186" s="18"/>
      <c r="N186" s="12"/>
    </row>
    <row r="187" spans="1:14" s="6" customFormat="1" ht="178.5">
      <c r="A187" s="50">
        <v>143</v>
      </c>
      <c r="B187" s="50" t="s">
        <v>240</v>
      </c>
      <c r="C187" s="51" t="s">
        <v>278</v>
      </c>
      <c r="D187" s="51" t="s">
        <v>81</v>
      </c>
      <c r="E187" s="52">
        <v>13.57</v>
      </c>
      <c r="F187" s="51">
        <f>(4017.79-752.57)*1.2</f>
        <v>3918.2639999999997</v>
      </c>
      <c r="G187" s="51">
        <f>752.57*1.2</f>
        <v>903.0840000000001</v>
      </c>
      <c r="H187" s="51">
        <f>54521.36*1.2</f>
        <v>65425.632</v>
      </c>
      <c r="I187" s="51">
        <f>(54521.36-10212.38)*1.2</f>
        <v>53170.776000000005</v>
      </c>
      <c r="J187" s="51">
        <f>10212.38*1.2</f>
        <v>12254.855999999998</v>
      </c>
      <c r="K187" s="18"/>
      <c r="L187" s="19"/>
      <c r="M187" s="18"/>
      <c r="N187" s="12"/>
    </row>
    <row r="188" spans="1:14" s="6" customFormat="1" ht="12.75">
      <c r="A188" s="50">
        <v>144</v>
      </c>
      <c r="B188" s="50" t="s">
        <v>279</v>
      </c>
      <c r="C188" s="51" t="s">
        <v>280</v>
      </c>
      <c r="D188" s="51" t="s">
        <v>81</v>
      </c>
      <c r="E188" s="52">
        <v>13.43</v>
      </c>
      <c r="F188" s="51">
        <f>(2799.07-2799.07)*1.2</f>
        <v>0</v>
      </c>
      <c r="G188" s="51">
        <f>2799.07*1.2</f>
        <v>3358.884</v>
      </c>
      <c r="H188" s="51">
        <f>37591.51*1.2</f>
        <v>45109.812</v>
      </c>
      <c r="I188" s="51">
        <f>(37591.51-37591.51)*1.2</f>
        <v>0</v>
      </c>
      <c r="J188" s="51">
        <f>37591.51*1.2</f>
        <v>45109.812</v>
      </c>
      <c r="K188" s="18"/>
      <c r="L188" s="19"/>
      <c r="M188" s="18"/>
      <c r="N188" s="12"/>
    </row>
    <row r="189" spans="1:14" s="6" customFormat="1" ht="140.25">
      <c r="A189" s="50">
        <v>145</v>
      </c>
      <c r="B189" s="50" t="s">
        <v>236</v>
      </c>
      <c r="C189" s="51" t="s">
        <v>277</v>
      </c>
      <c r="D189" s="51" t="s">
        <v>31</v>
      </c>
      <c r="E189" s="52">
        <v>2.714</v>
      </c>
      <c r="F189" s="51">
        <f>(12403.96-65.7)*1.2</f>
        <v>14805.911999999997</v>
      </c>
      <c r="G189" s="51">
        <f>65.7*1.2</f>
        <v>78.84</v>
      </c>
      <c r="H189" s="51">
        <f>33664.36*1.2</f>
        <v>40397.231999999996</v>
      </c>
      <c r="I189" s="51">
        <f>(33664.36-178.32)*1.2</f>
        <v>40183.248</v>
      </c>
      <c r="J189" s="51">
        <f>178.32*1.2</f>
        <v>213.98399999999998</v>
      </c>
      <c r="K189" s="18"/>
      <c r="L189" s="19"/>
      <c r="M189" s="18"/>
      <c r="N189" s="12"/>
    </row>
    <row r="190" spans="1:14" s="6" customFormat="1" ht="12.75">
      <c r="A190" s="50">
        <v>146</v>
      </c>
      <c r="B190" s="50" t="s">
        <v>238</v>
      </c>
      <c r="C190" s="51" t="s">
        <v>239</v>
      </c>
      <c r="D190" s="51" t="s">
        <v>81</v>
      </c>
      <c r="E190" s="52">
        <v>5.537</v>
      </c>
      <c r="F190" s="51">
        <f>(3051.4-3051.4)*1.2</f>
        <v>0</v>
      </c>
      <c r="G190" s="51">
        <f>3051.4*1.2</f>
        <v>3661.68</v>
      </c>
      <c r="H190" s="51">
        <f>16895.6*1.2</f>
        <v>20274.719999999998</v>
      </c>
      <c r="I190" s="51">
        <f>(16895.6-16895.6)*1.2</f>
        <v>0</v>
      </c>
      <c r="J190" s="51">
        <f>16895.6*1.2</f>
        <v>20274.719999999998</v>
      </c>
      <c r="K190" s="18"/>
      <c r="L190" s="19"/>
      <c r="M190" s="18"/>
      <c r="N190" s="12"/>
    </row>
    <row r="191" spans="1:14" s="6" customFormat="1" ht="140.25">
      <c r="A191" s="50">
        <v>147</v>
      </c>
      <c r="B191" s="50" t="s">
        <v>281</v>
      </c>
      <c r="C191" s="51" t="s">
        <v>282</v>
      </c>
      <c r="D191" s="51" t="s">
        <v>31</v>
      </c>
      <c r="E191" s="52">
        <v>2.714</v>
      </c>
      <c r="F191" s="51">
        <f>(1512.05-0)*1.2</f>
        <v>1814.4599999999998</v>
      </c>
      <c r="G191" s="51">
        <f>0*1.2</f>
        <v>0</v>
      </c>
      <c r="H191" s="51">
        <f>4103.69*1.2</f>
        <v>4924.427999999999</v>
      </c>
      <c r="I191" s="51">
        <f>(4103.69-0)*1.2</f>
        <v>4924.427999999999</v>
      </c>
      <c r="J191" s="51">
        <f>0*1.2</f>
        <v>0</v>
      </c>
      <c r="K191" s="18"/>
      <c r="L191" s="19"/>
      <c r="M191" s="18"/>
      <c r="N191" s="12"/>
    </row>
    <row r="192" spans="1:14" s="6" customFormat="1" ht="12.75">
      <c r="A192" s="50">
        <v>148</v>
      </c>
      <c r="B192" s="50" t="s">
        <v>238</v>
      </c>
      <c r="C192" s="51" t="s">
        <v>239</v>
      </c>
      <c r="D192" s="51" t="s">
        <v>81</v>
      </c>
      <c r="E192" s="52">
        <v>8.305</v>
      </c>
      <c r="F192" s="51">
        <f>(3051.4-3051.4)*1.2</f>
        <v>0</v>
      </c>
      <c r="G192" s="51">
        <f>3051.4*1.2</f>
        <v>3661.68</v>
      </c>
      <c r="H192" s="51">
        <f>25341.88*1.2</f>
        <v>30410.256</v>
      </c>
      <c r="I192" s="51">
        <f>(25341.88-25341.88)*1.2</f>
        <v>0</v>
      </c>
      <c r="J192" s="51">
        <f>25341.88*1.2</f>
        <v>30410.256</v>
      </c>
      <c r="K192" s="18"/>
      <c r="L192" s="19"/>
      <c r="M192" s="18"/>
      <c r="N192" s="12"/>
    </row>
    <row r="193" spans="1:14" s="6" customFormat="1" ht="127.5">
      <c r="A193" s="50">
        <v>149</v>
      </c>
      <c r="B193" s="50" t="s">
        <v>283</v>
      </c>
      <c r="C193" s="51" t="s">
        <v>284</v>
      </c>
      <c r="D193" s="51" t="s">
        <v>31</v>
      </c>
      <c r="E193" s="52">
        <v>2.714</v>
      </c>
      <c r="F193" s="51">
        <f>(13695.65-14.94)*1.2</f>
        <v>16416.852</v>
      </c>
      <c r="G193" s="51">
        <f>14.94*1.2</f>
        <v>17.927999999999997</v>
      </c>
      <c r="H193" s="51">
        <f>37170*1.2</f>
        <v>44604</v>
      </c>
      <c r="I193" s="51">
        <f>(37170-40.55)*1.2</f>
        <v>44555.34</v>
      </c>
      <c r="J193" s="51">
        <f>40.55*1.2</f>
        <v>48.66</v>
      </c>
      <c r="K193" s="18"/>
      <c r="L193" s="19"/>
      <c r="M193" s="18"/>
      <c r="N193" s="12"/>
    </row>
    <row r="194" spans="1:14" s="6" customFormat="1" ht="25.5">
      <c r="A194" s="50">
        <v>150</v>
      </c>
      <c r="B194" s="50" t="s">
        <v>285</v>
      </c>
      <c r="C194" s="51" t="s">
        <v>286</v>
      </c>
      <c r="D194" s="51" t="s">
        <v>60</v>
      </c>
      <c r="E194" s="52">
        <v>276.8</v>
      </c>
      <c r="F194" s="51">
        <f>(161.89-161.89)*1.2</f>
        <v>0</v>
      </c>
      <c r="G194" s="51">
        <f>161.89*1.2</f>
        <v>194.26799999999997</v>
      </c>
      <c r="H194" s="51">
        <f>44811.15*1.2</f>
        <v>53773.38</v>
      </c>
      <c r="I194" s="51">
        <f>(44811.15-44811.15)*1.2</f>
        <v>0</v>
      </c>
      <c r="J194" s="51">
        <f>44811.15*1.2</f>
        <v>53773.38</v>
      </c>
      <c r="K194" s="18"/>
      <c r="L194" s="19"/>
      <c r="M194" s="18"/>
      <c r="N194" s="12"/>
    </row>
    <row r="195" spans="1:14" s="6" customFormat="1" ht="12.75">
      <c r="A195" s="50">
        <v>151</v>
      </c>
      <c r="B195" s="50" t="s">
        <v>287</v>
      </c>
      <c r="C195" s="51" t="s">
        <v>288</v>
      </c>
      <c r="D195" s="51" t="s">
        <v>38</v>
      </c>
      <c r="E195" s="52">
        <v>0.1357</v>
      </c>
      <c r="F195" s="51">
        <f>(62855.34-62855.33)*1.2</f>
        <v>0.011999999993713572</v>
      </c>
      <c r="G195" s="51">
        <f>62855.33*1.2</f>
        <v>75426.396</v>
      </c>
      <c r="H195" s="51">
        <f>8529.47*1.2</f>
        <v>10235.364</v>
      </c>
      <c r="I195" s="51">
        <f>(8529.47-8529.47)*1.2</f>
        <v>0</v>
      </c>
      <c r="J195" s="51">
        <f>8529.47*1.2</f>
        <v>10235.364</v>
      </c>
      <c r="K195" s="18"/>
      <c r="L195" s="19"/>
      <c r="M195" s="18"/>
      <c r="N195" s="12"/>
    </row>
    <row r="196" spans="1:14" s="6" customFormat="1" ht="216.75">
      <c r="A196" s="50">
        <v>152</v>
      </c>
      <c r="B196" s="50" t="s">
        <v>261</v>
      </c>
      <c r="C196" s="51" t="s">
        <v>289</v>
      </c>
      <c r="D196" s="51" t="s">
        <v>131</v>
      </c>
      <c r="E196" s="52">
        <v>2.904</v>
      </c>
      <c r="F196" s="51">
        <f>(2517.39-200.14)*1.2</f>
        <v>2780.7</v>
      </c>
      <c r="G196" s="51">
        <f>200.14*1.2</f>
        <v>240.16799999999998</v>
      </c>
      <c r="H196" s="51">
        <f>7310.49*1.2</f>
        <v>8772.588</v>
      </c>
      <c r="I196" s="51">
        <f>(7310.49-581.21)*1.2</f>
        <v>8075.1359999999995</v>
      </c>
      <c r="J196" s="51">
        <f>581.21*1.2</f>
        <v>697.452</v>
      </c>
      <c r="K196" s="18"/>
      <c r="L196" s="19"/>
      <c r="M196" s="18"/>
      <c r="N196" s="12"/>
    </row>
    <row r="197" spans="1:14" s="6" customFormat="1" ht="12.75">
      <c r="A197" s="50">
        <v>153</v>
      </c>
      <c r="B197" s="50" t="s">
        <v>263</v>
      </c>
      <c r="C197" s="51" t="s">
        <v>264</v>
      </c>
      <c r="D197" s="51" t="s">
        <v>134</v>
      </c>
      <c r="E197" s="52">
        <v>293.3</v>
      </c>
      <c r="F197" s="51">
        <f>(7.87-7.87)*1.2</f>
        <v>0</v>
      </c>
      <c r="G197" s="51">
        <f>7.87*1.2</f>
        <v>9.443999999999999</v>
      </c>
      <c r="H197" s="51">
        <f>2308.27*1.2</f>
        <v>2769.924</v>
      </c>
      <c r="I197" s="51">
        <f>(2308.27-2308.27)*1.2</f>
        <v>0</v>
      </c>
      <c r="J197" s="51">
        <f>2308.27*1.2</f>
        <v>2769.924</v>
      </c>
      <c r="K197" s="18"/>
      <c r="L197" s="19"/>
      <c r="M197" s="18"/>
      <c r="N197" s="12"/>
    </row>
    <row r="198" spans="1:14" s="6" customFormat="1" ht="12.75">
      <c r="A198" s="50">
        <v>154</v>
      </c>
      <c r="B198" s="50" t="s">
        <v>265</v>
      </c>
      <c r="C198" s="51" t="s">
        <v>266</v>
      </c>
      <c r="D198" s="51" t="s">
        <v>267</v>
      </c>
      <c r="E198" s="52">
        <v>0.2323</v>
      </c>
      <c r="F198" s="51">
        <f>(617.99-618)*1.2</f>
        <v>-0.011999999999989085</v>
      </c>
      <c r="G198" s="51">
        <f>618*1.2</f>
        <v>741.6</v>
      </c>
      <c r="H198" s="51">
        <f>143.56*1.2</f>
        <v>172.272</v>
      </c>
      <c r="I198" s="51">
        <f>(143.56-143.56)*1.2</f>
        <v>0</v>
      </c>
      <c r="J198" s="51">
        <f>143.56*1.2</f>
        <v>172.272</v>
      </c>
      <c r="K198" s="18"/>
      <c r="L198" s="19"/>
      <c r="M198" s="18"/>
      <c r="N198" s="12"/>
    </row>
    <row r="199" spans="1:14" s="6" customFormat="1" ht="12.75">
      <c r="A199" s="50">
        <v>155</v>
      </c>
      <c r="B199" s="50" t="s">
        <v>268</v>
      </c>
      <c r="C199" s="51" t="s">
        <v>269</v>
      </c>
      <c r="D199" s="51" t="s">
        <v>267</v>
      </c>
      <c r="E199" s="52">
        <v>0.2323</v>
      </c>
      <c r="F199" s="51">
        <f>(617.99-618)*1.2</f>
        <v>-0.011999999999989085</v>
      </c>
      <c r="G199" s="51">
        <f>618*1.2</f>
        <v>741.6</v>
      </c>
      <c r="H199" s="51">
        <f>143.56*1.2</f>
        <v>172.272</v>
      </c>
      <c r="I199" s="51">
        <f>(143.56-143.56)*1.2</f>
        <v>0</v>
      </c>
      <c r="J199" s="51">
        <f>143.56*1.2</f>
        <v>172.272</v>
      </c>
      <c r="K199" s="18"/>
      <c r="L199" s="19"/>
      <c r="M199" s="18"/>
      <c r="N199" s="12"/>
    </row>
    <row r="200" spans="1:14" s="6" customFormat="1" ht="12.75">
      <c r="A200" s="50">
        <v>156</v>
      </c>
      <c r="B200" s="50" t="s">
        <v>270</v>
      </c>
      <c r="C200" s="51" t="s">
        <v>271</v>
      </c>
      <c r="D200" s="51" t="s">
        <v>267</v>
      </c>
      <c r="E200" s="52">
        <v>1.162</v>
      </c>
      <c r="F200" s="51">
        <f>(879-879)*1.2</f>
        <v>0</v>
      </c>
      <c r="G200" s="51">
        <f>879*1.2</f>
        <v>1054.8</v>
      </c>
      <c r="H200" s="51">
        <f>1021.4*1.2</f>
        <v>1225.6799999999998</v>
      </c>
      <c r="I200" s="51">
        <f>(1021.4-1021.4)*1.2</f>
        <v>0</v>
      </c>
      <c r="J200" s="51">
        <f>1021.4*1.2</f>
        <v>1225.6799999999998</v>
      </c>
      <c r="K200" s="18"/>
      <c r="L200" s="19"/>
      <c r="M200" s="18"/>
      <c r="N200" s="12"/>
    </row>
    <row r="201" spans="1:14" s="6" customFormat="1" ht="12.75">
      <c r="A201" s="50">
        <v>157</v>
      </c>
      <c r="B201" s="50" t="s">
        <v>272</v>
      </c>
      <c r="C201" s="51" t="s">
        <v>273</v>
      </c>
      <c r="D201" s="51" t="s">
        <v>267</v>
      </c>
      <c r="E201" s="52">
        <v>0.2033</v>
      </c>
      <c r="F201" s="51">
        <f>(793.02-793)*1.2</f>
        <v>0.02399999999997817</v>
      </c>
      <c r="G201" s="51">
        <f>793*1.2</f>
        <v>951.5999999999999</v>
      </c>
      <c r="H201" s="51">
        <f>161.22*1.2</f>
        <v>193.464</v>
      </c>
      <c r="I201" s="51">
        <f>(161.22-161.22)*1.2</f>
        <v>0</v>
      </c>
      <c r="J201" s="51">
        <f>161.22*1.2</f>
        <v>193.464</v>
      </c>
      <c r="K201" s="18"/>
      <c r="L201" s="19"/>
      <c r="M201" s="18"/>
      <c r="N201" s="12"/>
    </row>
    <row r="202" spans="1:14" s="6" customFormat="1" ht="12.75">
      <c r="A202" s="50">
        <v>158</v>
      </c>
      <c r="B202" s="50" t="s">
        <v>274</v>
      </c>
      <c r="C202" s="51" t="s">
        <v>275</v>
      </c>
      <c r="D202" s="51" t="s">
        <v>267</v>
      </c>
      <c r="E202" s="52">
        <v>0.2033</v>
      </c>
      <c r="F202" s="51">
        <f>(793.02-793)*1.2</f>
        <v>0.02399999999997817</v>
      </c>
      <c r="G202" s="51">
        <f>793*1.2</f>
        <v>951.5999999999999</v>
      </c>
      <c r="H202" s="51">
        <f>161.22*1.2</f>
        <v>193.464</v>
      </c>
      <c r="I202" s="51">
        <f>(161.22-161.22)*1.2</f>
        <v>0</v>
      </c>
      <c r="J202" s="51">
        <f>161.22*1.2</f>
        <v>193.464</v>
      </c>
      <c r="K202" s="18"/>
      <c r="L202" s="19"/>
      <c r="M202" s="18"/>
      <c r="N202" s="12"/>
    </row>
    <row r="203" spans="1:14" s="6" customFormat="1" ht="18" customHeight="1">
      <c r="A203" s="77" t="s">
        <v>290</v>
      </c>
      <c r="B203" s="78"/>
      <c r="C203" s="78"/>
      <c r="D203" s="78"/>
      <c r="E203" s="78"/>
      <c r="F203" s="78"/>
      <c r="G203" s="78"/>
      <c r="H203" s="78"/>
      <c r="I203" s="78"/>
      <c r="J203" s="78"/>
      <c r="K203" s="18"/>
      <c r="L203" s="19"/>
      <c r="M203" s="18"/>
      <c r="N203" s="12"/>
    </row>
    <row r="204" spans="1:14" s="6" customFormat="1" ht="140.25">
      <c r="A204" s="50">
        <v>159</v>
      </c>
      <c r="B204" s="50" t="s">
        <v>236</v>
      </c>
      <c r="C204" s="51" t="s">
        <v>291</v>
      </c>
      <c r="D204" s="51" t="s">
        <v>31</v>
      </c>
      <c r="E204" s="52">
        <v>1.8648</v>
      </c>
      <c r="F204" s="51">
        <f>(12403.96-65.7)*1.2</f>
        <v>14805.911999999997</v>
      </c>
      <c r="G204" s="51">
        <f>65.7*1.2</f>
        <v>78.84</v>
      </c>
      <c r="H204" s="51">
        <f>23130.91*1.2</f>
        <v>27757.092</v>
      </c>
      <c r="I204" s="51">
        <f>(23130.91-122.52)*1.2</f>
        <v>27610.068</v>
      </c>
      <c r="J204" s="51">
        <f>122.52*1.2</f>
        <v>147.024</v>
      </c>
      <c r="K204" s="18"/>
      <c r="L204" s="19"/>
      <c r="M204" s="18"/>
      <c r="N204" s="12"/>
    </row>
    <row r="205" spans="1:14" s="6" customFormat="1" ht="12.75">
      <c r="A205" s="50">
        <v>160</v>
      </c>
      <c r="B205" s="50" t="s">
        <v>238</v>
      </c>
      <c r="C205" s="51" t="s">
        <v>239</v>
      </c>
      <c r="D205" s="51" t="s">
        <v>81</v>
      </c>
      <c r="E205" s="52">
        <v>3.804</v>
      </c>
      <c r="F205" s="51">
        <f>(3051.4-3051.4)*1.2</f>
        <v>0</v>
      </c>
      <c r="G205" s="51">
        <f>3051.4*1.2</f>
        <v>3661.68</v>
      </c>
      <c r="H205" s="51">
        <f>11607.53*1.2</f>
        <v>13929.036</v>
      </c>
      <c r="I205" s="51">
        <f>(11607.53-11607.53)*1.2</f>
        <v>0</v>
      </c>
      <c r="J205" s="51">
        <f>11607.53*1.2</f>
        <v>13929.036</v>
      </c>
      <c r="K205" s="18"/>
      <c r="L205" s="19"/>
      <c r="M205" s="18"/>
      <c r="N205" s="12"/>
    </row>
    <row r="206" spans="1:14" s="6" customFormat="1" ht="178.5">
      <c r="A206" s="50">
        <v>161</v>
      </c>
      <c r="B206" s="50" t="s">
        <v>240</v>
      </c>
      <c r="C206" s="51" t="s">
        <v>292</v>
      </c>
      <c r="D206" s="51" t="s">
        <v>81</v>
      </c>
      <c r="E206" s="52">
        <v>6.5268</v>
      </c>
      <c r="F206" s="51">
        <f>(4017.79-752.57)*1.2</f>
        <v>3918.2639999999997</v>
      </c>
      <c r="G206" s="51">
        <f>752.57*1.2</f>
        <v>903.0840000000001</v>
      </c>
      <c r="H206" s="51">
        <f>26223.29*1.2</f>
        <v>31467.948</v>
      </c>
      <c r="I206" s="51">
        <f>(26223.29-4911.88)*1.2</f>
        <v>25573.692</v>
      </c>
      <c r="J206" s="51">
        <f>4911.88*1.2</f>
        <v>5894.256</v>
      </c>
      <c r="K206" s="18"/>
      <c r="L206" s="19"/>
      <c r="M206" s="18"/>
      <c r="N206" s="12"/>
    </row>
    <row r="207" spans="1:14" s="6" customFormat="1" ht="12.75">
      <c r="A207" s="50">
        <v>162</v>
      </c>
      <c r="B207" s="50" t="s">
        <v>242</v>
      </c>
      <c r="C207" s="51" t="s">
        <v>243</v>
      </c>
      <c r="D207" s="51" t="s">
        <v>81</v>
      </c>
      <c r="E207" s="52">
        <v>6.462</v>
      </c>
      <c r="F207" s="51">
        <f>(2045.96-2045.96)*1.2</f>
        <v>0</v>
      </c>
      <c r="G207" s="51">
        <f>2045.96*1.2</f>
        <v>2455.152</v>
      </c>
      <c r="H207" s="51">
        <f>13220.99*1.2</f>
        <v>15865.187999999998</v>
      </c>
      <c r="I207" s="51">
        <f>(13220.99-13220.99)*1.2</f>
        <v>0</v>
      </c>
      <c r="J207" s="51">
        <f>13220.99*1.2</f>
        <v>15865.187999999998</v>
      </c>
      <c r="K207" s="18"/>
      <c r="L207" s="19"/>
      <c r="M207" s="18"/>
      <c r="N207" s="12"/>
    </row>
    <row r="208" spans="1:14" s="6" customFormat="1" ht="140.25">
      <c r="A208" s="50">
        <v>163</v>
      </c>
      <c r="B208" s="50" t="s">
        <v>236</v>
      </c>
      <c r="C208" s="51" t="s">
        <v>291</v>
      </c>
      <c r="D208" s="51" t="s">
        <v>31</v>
      </c>
      <c r="E208" s="52">
        <v>1.8648</v>
      </c>
      <c r="F208" s="51">
        <f>(12403.96-65.7)*1.2</f>
        <v>14805.911999999997</v>
      </c>
      <c r="G208" s="51">
        <f>65.7*1.2</f>
        <v>78.84</v>
      </c>
      <c r="H208" s="51">
        <f>23130.91*1.2</f>
        <v>27757.092</v>
      </c>
      <c r="I208" s="51">
        <f>(23130.91-122.52)*1.2</f>
        <v>27610.068</v>
      </c>
      <c r="J208" s="51">
        <f>122.52*1.2</f>
        <v>147.024</v>
      </c>
      <c r="K208" s="18"/>
      <c r="L208" s="19"/>
      <c r="M208" s="18"/>
      <c r="N208" s="12"/>
    </row>
    <row r="209" spans="1:14" s="6" customFormat="1" ht="12.75">
      <c r="A209" s="50">
        <v>164</v>
      </c>
      <c r="B209" s="50" t="s">
        <v>238</v>
      </c>
      <c r="C209" s="51" t="s">
        <v>239</v>
      </c>
      <c r="D209" s="51" t="s">
        <v>81</v>
      </c>
      <c r="E209" s="52">
        <v>3.804</v>
      </c>
      <c r="F209" s="51">
        <f>(3051.4-3051.4)*1.2</f>
        <v>0</v>
      </c>
      <c r="G209" s="51">
        <f>3051.4*1.2</f>
        <v>3661.68</v>
      </c>
      <c r="H209" s="51">
        <f>11607.53*1.2</f>
        <v>13929.036</v>
      </c>
      <c r="I209" s="51">
        <f>(11607.53-11607.53)*1.2</f>
        <v>0</v>
      </c>
      <c r="J209" s="51">
        <f>11607.53*1.2</f>
        <v>13929.036</v>
      </c>
      <c r="K209" s="18"/>
      <c r="L209" s="19"/>
      <c r="M209" s="18"/>
      <c r="N209" s="12"/>
    </row>
    <row r="210" spans="1:14" s="6" customFormat="1" ht="178.5">
      <c r="A210" s="50">
        <v>165</v>
      </c>
      <c r="B210" s="50" t="s">
        <v>293</v>
      </c>
      <c r="C210" s="51" t="s">
        <v>294</v>
      </c>
      <c r="D210" s="51" t="s">
        <v>31</v>
      </c>
      <c r="E210" s="52">
        <v>1.8648</v>
      </c>
      <c r="F210" s="51">
        <f>(27138.13-14362.18)*1.2</f>
        <v>15331.14</v>
      </c>
      <c r="G210" s="51">
        <f>14362.18*1.2</f>
        <v>17234.615999999998</v>
      </c>
      <c r="H210" s="51">
        <f>50607.19*1.2</f>
        <v>60728.628</v>
      </c>
      <c r="I210" s="51">
        <f>(50607.19-26782.59)*1.2</f>
        <v>28589.52</v>
      </c>
      <c r="J210" s="51">
        <f>26782.59*1.2</f>
        <v>32139.108</v>
      </c>
      <c r="K210" s="18"/>
      <c r="L210" s="19"/>
      <c r="M210" s="18"/>
      <c r="N210" s="12"/>
    </row>
    <row r="211" spans="1:14" s="6" customFormat="1" ht="12.75">
      <c r="A211" s="50">
        <v>166</v>
      </c>
      <c r="B211" s="50" t="s">
        <v>295</v>
      </c>
      <c r="C211" s="51" t="s">
        <v>296</v>
      </c>
      <c r="D211" s="51" t="s">
        <v>60</v>
      </c>
      <c r="E211" s="52">
        <v>216.3</v>
      </c>
      <c r="F211" s="51">
        <f>(50.22-50.22)*1.2</f>
        <v>0</v>
      </c>
      <c r="G211" s="51">
        <f>50.22*1.2</f>
        <v>60.263999999999996</v>
      </c>
      <c r="H211" s="51">
        <f>10862.59*1.2</f>
        <v>13035.108</v>
      </c>
      <c r="I211" s="51">
        <f>(10862.59-10862.59)*1.2</f>
        <v>0</v>
      </c>
      <c r="J211" s="51">
        <f>10862.59*1.2</f>
        <v>13035.108</v>
      </c>
      <c r="K211" s="18"/>
      <c r="L211" s="19"/>
      <c r="M211" s="18"/>
      <c r="N211" s="12"/>
    </row>
    <row r="212" spans="1:14" s="6" customFormat="1" ht="140.25">
      <c r="A212" s="50">
        <v>167</v>
      </c>
      <c r="B212" s="50" t="s">
        <v>236</v>
      </c>
      <c r="C212" s="51" t="s">
        <v>291</v>
      </c>
      <c r="D212" s="51" t="s">
        <v>31</v>
      </c>
      <c r="E212" s="52">
        <v>1.8648</v>
      </c>
      <c r="F212" s="51">
        <f>(12403.96-65.7)*1.2</f>
        <v>14805.911999999997</v>
      </c>
      <c r="G212" s="51">
        <f>65.7*1.2</f>
        <v>78.84</v>
      </c>
      <c r="H212" s="51">
        <f>23130.91*1.2</f>
        <v>27757.092</v>
      </c>
      <c r="I212" s="51">
        <f>(23130.91-122.52)*1.2</f>
        <v>27610.068</v>
      </c>
      <c r="J212" s="51">
        <f>122.52*1.2</f>
        <v>147.024</v>
      </c>
      <c r="K212" s="18"/>
      <c r="L212" s="19"/>
      <c r="M212" s="18"/>
      <c r="N212" s="12"/>
    </row>
    <row r="213" spans="1:14" s="6" customFormat="1" ht="12.75">
      <c r="A213" s="50">
        <v>168</v>
      </c>
      <c r="B213" s="50" t="s">
        <v>238</v>
      </c>
      <c r="C213" s="51" t="s">
        <v>239</v>
      </c>
      <c r="D213" s="51" t="s">
        <v>81</v>
      </c>
      <c r="E213" s="52">
        <v>3.804</v>
      </c>
      <c r="F213" s="51">
        <f>(3051.4-3051.4)*1.2</f>
        <v>0</v>
      </c>
      <c r="G213" s="51">
        <f>3051.4*1.2</f>
        <v>3661.68</v>
      </c>
      <c r="H213" s="51">
        <f>11607.53*1.2</f>
        <v>13929.036</v>
      </c>
      <c r="I213" s="51">
        <f>(11607.53-11607.53)*1.2</f>
        <v>0</v>
      </c>
      <c r="J213" s="51">
        <f>11607.53*1.2</f>
        <v>13929.036</v>
      </c>
      <c r="K213" s="18"/>
      <c r="L213" s="19"/>
      <c r="M213" s="18"/>
      <c r="N213" s="12"/>
    </row>
    <row r="214" spans="1:14" s="6" customFormat="1" ht="140.25">
      <c r="A214" s="50">
        <v>169</v>
      </c>
      <c r="B214" s="50" t="s">
        <v>281</v>
      </c>
      <c r="C214" s="51" t="s">
        <v>297</v>
      </c>
      <c r="D214" s="51" t="s">
        <v>31</v>
      </c>
      <c r="E214" s="52">
        <v>1.8648</v>
      </c>
      <c r="F214" s="51">
        <f>(1008.02-0)*1.2</f>
        <v>1209.624</v>
      </c>
      <c r="G214" s="51">
        <f>0*1.2</f>
        <v>0</v>
      </c>
      <c r="H214" s="51">
        <f>1879.76*1.2</f>
        <v>2255.712</v>
      </c>
      <c r="I214" s="51">
        <f>(1879.76-0)*1.2</f>
        <v>2255.712</v>
      </c>
      <c r="J214" s="51">
        <f>0*1.2</f>
        <v>0</v>
      </c>
      <c r="K214" s="18"/>
      <c r="L214" s="19"/>
      <c r="M214" s="18"/>
      <c r="N214" s="12"/>
    </row>
    <row r="215" spans="1:14" s="6" customFormat="1" ht="12.75">
      <c r="A215" s="50">
        <v>170</v>
      </c>
      <c r="B215" s="50" t="s">
        <v>238</v>
      </c>
      <c r="C215" s="51" t="s">
        <v>239</v>
      </c>
      <c r="D215" s="51" t="s">
        <v>81</v>
      </c>
      <c r="E215" s="52">
        <v>3.804</v>
      </c>
      <c r="F215" s="51">
        <f>(3051.4-3051.4)*1.2</f>
        <v>0</v>
      </c>
      <c r="G215" s="51">
        <f>3051.4*1.2</f>
        <v>3661.68</v>
      </c>
      <c r="H215" s="51">
        <f>11607.53*1.2</f>
        <v>13929.036</v>
      </c>
      <c r="I215" s="51">
        <f>(11607.53-11607.53)*1.2</f>
        <v>0</v>
      </c>
      <c r="J215" s="51">
        <f>11607.53*1.2</f>
        <v>13929.036</v>
      </c>
      <c r="K215" s="18"/>
      <c r="L215" s="19"/>
      <c r="M215" s="18"/>
      <c r="N215" s="12"/>
    </row>
    <row r="216" spans="1:14" s="6" customFormat="1" ht="191.25">
      <c r="A216" s="50">
        <v>171</v>
      </c>
      <c r="B216" s="50" t="s">
        <v>298</v>
      </c>
      <c r="C216" s="51" t="s">
        <v>299</v>
      </c>
      <c r="D216" s="51" t="s">
        <v>31</v>
      </c>
      <c r="E216" s="52">
        <v>1.8648</v>
      </c>
      <c r="F216" s="51">
        <f>(75440.21-34259.24)*1.2</f>
        <v>49417.16400000001</v>
      </c>
      <c r="G216" s="51">
        <f>34259.24*1.2</f>
        <v>41111.087999999996</v>
      </c>
      <c r="H216" s="51">
        <f>140680.9*1.2</f>
        <v>168817.08</v>
      </c>
      <c r="I216" s="51">
        <f>(140680.9-63886.63)*1.2</f>
        <v>92153.12399999998</v>
      </c>
      <c r="J216" s="51">
        <f>63886.63*1.2</f>
        <v>76663.95599999999</v>
      </c>
      <c r="K216" s="18"/>
      <c r="L216" s="19"/>
      <c r="M216" s="18"/>
      <c r="N216" s="12"/>
    </row>
    <row r="217" spans="1:14" s="6" customFormat="1" ht="12.75">
      <c r="A217" s="50">
        <v>172</v>
      </c>
      <c r="B217" s="50" t="s">
        <v>300</v>
      </c>
      <c r="C217" s="51" t="s">
        <v>301</v>
      </c>
      <c r="D217" s="51" t="s">
        <v>41</v>
      </c>
      <c r="E217" s="52">
        <v>839.2</v>
      </c>
      <c r="F217" s="51">
        <f>(7.71-7.71)*1.2</f>
        <v>0</v>
      </c>
      <c r="G217" s="51">
        <f>7.71*1.2</f>
        <v>9.251999999999999</v>
      </c>
      <c r="H217" s="51">
        <f>6470.23*1.2</f>
        <v>7764.275999999999</v>
      </c>
      <c r="I217" s="51">
        <f>(6470.23-6470.23)*1.2</f>
        <v>0</v>
      </c>
      <c r="J217" s="51">
        <f>6470.23*1.2</f>
        <v>7764.275999999999</v>
      </c>
      <c r="K217" s="18"/>
      <c r="L217" s="19"/>
      <c r="M217" s="18"/>
      <c r="N217" s="12"/>
    </row>
    <row r="218" spans="1:14" s="6" customFormat="1" ht="18" customHeight="1">
      <c r="A218" s="77" t="s">
        <v>302</v>
      </c>
      <c r="B218" s="78"/>
      <c r="C218" s="78"/>
      <c r="D218" s="78"/>
      <c r="E218" s="78"/>
      <c r="F218" s="78"/>
      <c r="G218" s="78"/>
      <c r="H218" s="78"/>
      <c r="I218" s="78"/>
      <c r="J218" s="78"/>
      <c r="K218" s="18"/>
      <c r="L218" s="19"/>
      <c r="M218" s="18"/>
      <c r="N218" s="12"/>
    </row>
    <row r="219" spans="1:14" s="6" customFormat="1" ht="140.25">
      <c r="A219" s="50">
        <v>173</v>
      </c>
      <c r="B219" s="50" t="s">
        <v>303</v>
      </c>
      <c r="C219" s="51" t="s">
        <v>304</v>
      </c>
      <c r="D219" s="51" t="s">
        <v>31</v>
      </c>
      <c r="E219" s="52">
        <v>0.1016</v>
      </c>
      <c r="F219" s="51">
        <f>(3038.19-4.13)*1.2</f>
        <v>3640.872</v>
      </c>
      <c r="G219" s="51">
        <f>4.13*1.2</f>
        <v>4.9559999999999995</v>
      </c>
      <c r="H219" s="51">
        <f>308.68*1.2</f>
        <v>370.416</v>
      </c>
      <c r="I219" s="51">
        <f>(308.68-0.42)*1.2</f>
        <v>369.912</v>
      </c>
      <c r="J219" s="51">
        <f>0.42*1.2</f>
        <v>0.504</v>
      </c>
      <c r="K219" s="18"/>
      <c r="L219" s="19"/>
      <c r="M219" s="18"/>
      <c r="N219" s="12"/>
    </row>
    <row r="220" spans="1:14" s="6" customFormat="1" ht="12.75">
      <c r="A220" s="50">
        <v>174</v>
      </c>
      <c r="B220" s="50" t="s">
        <v>305</v>
      </c>
      <c r="C220" s="51" t="s">
        <v>306</v>
      </c>
      <c r="D220" s="51" t="s">
        <v>81</v>
      </c>
      <c r="E220" s="52">
        <v>0.5182</v>
      </c>
      <c r="F220" s="51">
        <f>(1223.2-1223.19)*1.2</f>
        <v>0.011999999999989085</v>
      </c>
      <c r="G220" s="51">
        <f>1223.19*1.2</f>
        <v>1467.828</v>
      </c>
      <c r="H220" s="51">
        <f>633.86*1.2</f>
        <v>760.632</v>
      </c>
      <c r="I220" s="51">
        <f>(633.86-633.86)*1.2</f>
        <v>0</v>
      </c>
      <c r="J220" s="51">
        <f>633.86*1.2</f>
        <v>760.632</v>
      </c>
      <c r="K220" s="18"/>
      <c r="L220" s="19"/>
      <c r="M220" s="18"/>
      <c r="N220" s="12"/>
    </row>
    <row r="221" spans="1:14" s="6" customFormat="1" ht="114.75">
      <c r="A221" s="50">
        <v>175</v>
      </c>
      <c r="B221" s="50" t="s">
        <v>307</v>
      </c>
      <c r="C221" s="51" t="s">
        <v>308</v>
      </c>
      <c r="D221" s="51" t="s">
        <v>309</v>
      </c>
      <c r="E221" s="52">
        <v>0.008</v>
      </c>
      <c r="F221" s="51">
        <f>(66760-4116.25)*1.2</f>
        <v>75172.5</v>
      </c>
      <c r="G221" s="51">
        <f>4116.25*1.2</f>
        <v>4939.5</v>
      </c>
      <c r="H221" s="51">
        <f>534.08*1.2</f>
        <v>640.8960000000001</v>
      </c>
      <c r="I221" s="51">
        <f>(534.08-32.94)*1.2</f>
        <v>601.368</v>
      </c>
      <c r="J221" s="51">
        <f>32.94*1.2</f>
        <v>39.528</v>
      </c>
      <c r="K221" s="18"/>
      <c r="L221" s="19"/>
      <c r="M221" s="18"/>
      <c r="N221" s="12"/>
    </row>
    <row r="222" spans="1:14" s="6" customFormat="1" ht="12.75">
      <c r="A222" s="50">
        <v>176</v>
      </c>
      <c r="B222" s="50" t="s">
        <v>310</v>
      </c>
      <c r="C222" s="51" t="s">
        <v>311</v>
      </c>
      <c r="D222" s="51" t="s">
        <v>81</v>
      </c>
      <c r="E222" s="52">
        <v>0.816</v>
      </c>
      <c r="F222" s="51">
        <f>(2793.09-2793.09)*1.2</f>
        <v>0</v>
      </c>
      <c r="G222" s="51">
        <f>2793.09*1.2</f>
        <v>3351.708</v>
      </c>
      <c r="H222" s="51">
        <f>2279.16*1.2</f>
        <v>2734.9919999999997</v>
      </c>
      <c r="I222" s="51">
        <f>(2279.16-2279.16)*1.2</f>
        <v>0</v>
      </c>
      <c r="J222" s="51">
        <f>2279.16*1.2</f>
        <v>2734.9919999999997</v>
      </c>
      <c r="K222" s="18"/>
      <c r="L222" s="19"/>
      <c r="M222" s="18"/>
      <c r="N222" s="12"/>
    </row>
    <row r="223" spans="1:14" s="6" customFormat="1" ht="140.25">
      <c r="A223" s="50">
        <v>177</v>
      </c>
      <c r="B223" s="50" t="s">
        <v>236</v>
      </c>
      <c r="C223" s="51" t="s">
        <v>312</v>
      </c>
      <c r="D223" s="51" t="s">
        <v>31</v>
      </c>
      <c r="E223" s="52">
        <v>0.1016</v>
      </c>
      <c r="F223" s="51">
        <f>(12403.94-65.7)*1.2</f>
        <v>14805.887999999999</v>
      </c>
      <c r="G223" s="51">
        <f>65.7*1.2</f>
        <v>78.84</v>
      </c>
      <c r="H223" s="51">
        <f>1260.24*1.2</f>
        <v>1512.288</v>
      </c>
      <c r="I223" s="51">
        <f>(1260.24-6.68)*1.2</f>
        <v>1504.272</v>
      </c>
      <c r="J223" s="51">
        <f>6.68*1.2</f>
        <v>8.016</v>
      </c>
      <c r="K223" s="18"/>
      <c r="L223" s="19"/>
      <c r="M223" s="18"/>
      <c r="N223" s="12"/>
    </row>
    <row r="224" spans="1:14" s="6" customFormat="1" ht="12.75">
      <c r="A224" s="50">
        <v>178</v>
      </c>
      <c r="B224" s="50" t="s">
        <v>238</v>
      </c>
      <c r="C224" s="51" t="s">
        <v>239</v>
      </c>
      <c r="D224" s="51" t="s">
        <v>81</v>
      </c>
      <c r="E224" s="52">
        <v>0.2073</v>
      </c>
      <c r="F224" s="51">
        <f>(3051.42-3051.4)*1.2</f>
        <v>0.02399999999997817</v>
      </c>
      <c r="G224" s="51">
        <f>3051.4*1.2</f>
        <v>3661.68</v>
      </c>
      <c r="H224" s="51">
        <f>632.56*1.2</f>
        <v>759.0719999999999</v>
      </c>
      <c r="I224" s="51">
        <f>(632.56-632.56)*1.2</f>
        <v>0</v>
      </c>
      <c r="J224" s="51">
        <f>632.56*1.2</f>
        <v>759.0719999999999</v>
      </c>
      <c r="K224" s="18"/>
      <c r="L224" s="19"/>
      <c r="M224" s="18"/>
      <c r="N224" s="12"/>
    </row>
    <row r="225" spans="1:14" s="6" customFormat="1" ht="178.5">
      <c r="A225" s="50">
        <v>179</v>
      </c>
      <c r="B225" s="50" t="s">
        <v>240</v>
      </c>
      <c r="C225" s="51" t="s">
        <v>313</v>
      </c>
      <c r="D225" s="51" t="s">
        <v>81</v>
      </c>
      <c r="E225" s="52">
        <v>0.508</v>
      </c>
      <c r="F225" s="51">
        <f>(4017.8-752.57)*1.2</f>
        <v>3918.276</v>
      </c>
      <c r="G225" s="51">
        <f>752.57*1.2</f>
        <v>903.0840000000001</v>
      </c>
      <c r="H225" s="51">
        <f>2041.04*1.2</f>
        <v>2449.248</v>
      </c>
      <c r="I225" s="51">
        <f>(2041.04-382.3)*1.2</f>
        <v>1990.4879999999998</v>
      </c>
      <c r="J225" s="51">
        <f>382.3*1.2</f>
        <v>458.76</v>
      </c>
      <c r="K225" s="18"/>
      <c r="L225" s="19"/>
      <c r="M225" s="18"/>
      <c r="N225" s="12"/>
    </row>
    <row r="226" spans="1:14" s="6" customFormat="1" ht="12.75">
      <c r="A226" s="50">
        <v>180</v>
      </c>
      <c r="B226" s="50" t="s">
        <v>279</v>
      </c>
      <c r="C226" s="51" t="s">
        <v>280</v>
      </c>
      <c r="D226" s="51" t="s">
        <v>81</v>
      </c>
      <c r="E226" s="52">
        <v>0.5029</v>
      </c>
      <c r="F226" s="51">
        <f>(2799.07-2799.07)*1.2</f>
        <v>0</v>
      </c>
      <c r="G226" s="51">
        <f>2799.07*1.2</f>
        <v>3358.884</v>
      </c>
      <c r="H226" s="51">
        <f>1407.65*1.2</f>
        <v>1689.18</v>
      </c>
      <c r="I226" s="51">
        <f>(1407.65-1407.65)*1.2</f>
        <v>0</v>
      </c>
      <c r="J226" s="51">
        <f>1407.65*1.2</f>
        <v>1689.18</v>
      </c>
      <c r="K226" s="18"/>
      <c r="L226" s="19"/>
      <c r="M226" s="18"/>
      <c r="N226" s="12"/>
    </row>
    <row r="227" spans="1:14" s="6" customFormat="1" ht="140.25">
      <c r="A227" s="50">
        <v>181</v>
      </c>
      <c r="B227" s="50" t="s">
        <v>236</v>
      </c>
      <c r="C227" s="51" t="s">
        <v>312</v>
      </c>
      <c r="D227" s="51" t="s">
        <v>31</v>
      </c>
      <c r="E227" s="52">
        <v>0.1016</v>
      </c>
      <c r="F227" s="51">
        <f>(12403.94-65.7)*1.2</f>
        <v>14805.887999999999</v>
      </c>
      <c r="G227" s="51">
        <f>65.7*1.2</f>
        <v>78.84</v>
      </c>
      <c r="H227" s="51">
        <f>1260.24*1.2</f>
        <v>1512.288</v>
      </c>
      <c r="I227" s="51">
        <f>(1260.24-6.68)*1.2</f>
        <v>1504.272</v>
      </c>
      <c r="J227" s="51">
        <f>6.68*1.2</f>
        <v>8.016</v>
      </c>
      <c r="K227" s="18"/>
      <c r="L227" s="19"/>
      <c r="M227" s="18"/>
      <c r="N227" s="12"/>
    </row>
    <row r="228" spans="1:14" s="6" customFormat="1" ht="12.75">
      <c r="A228" s="50">
        <v>182</v>
      </c>
      <c r="B228" s="50" t="s">
        <v>238</v>
      </c>
      <c r="C228" s="51" t="s">
        <v>239</v>
      </c>
      <c r="D228" s="51" t="s">
        <v>81</v>
      </c>
      <c r="E228" s="52">
        <v>0.2073</v>
      </c>
      <c r="F228" s="51">
        <f>(3051.42-3051.4)*1.2</f>
        <v>0.02399999999997817</v>
      </c>
      <c r="G228" s="51">
        <f>3051.4*1.2</f>
        <v>3661.68</v>
      </c>
      <c r="H228" s="51">
        <f>632.56*1.2</f>
        <v>759.0719999999999</v>
      </c>
      <c r="I228" s="51">
        <f>(632.56-632.56)*1.2</f>
        <v>0</v>
      </c>
      <c r="J228" s="51">
        <f>632.56*1.2</f>
        <v>759.0719999999999</v>
      </c>
      <c r="K228" s="18"/>
      <c r="L228" s="19"/>
      <c r="M228" s="18"/>
      <c r="N228" s="12"/>
    </row>
    <row r="229" spans="1:14" s="6" customFormat="1" ht="140.25">
      <c r="A229" s="50">
        <v>183</v>
      </c>
      <c r="B229" s="50" t="s">
        <v>281</v>
      </c>
      <c r="C229" s="51" t="s">
        <v>314</v>
      </c>
      <c r="D229" s="51" t="s">
        <v>31</v>
      </c>
      <c r="E229" s="52">
        <v>0.1016</v>
      </c>
      <c r="F229" s="51">
        <f>(1008.07-0)*1.2</f>
        <v>1209.684</v>
      </c>
      <c r="G229" s="51">
        <f>0*1.2</f>
        <v>0</v>
      </c>
      <c r="H229" s="51">
        <f>102.42*1.2</f>
        <v>122.904</v>
      </c>
      <c r="I229" s="51">
        <f>(102.42-0)*1.2</f>
        <v>122.904</v>
      </c>
      <c r="J229" s="51">
        <f>0*1.2</f>
        <v>0</v>
      </c>
      <c r="K229" s="18"/>
      <c r="L229" s="19"/>
      <c r="M229" s="18"/>
      <c r="N229" s="12"/>
    </row>
    <row r="230" spans="1:14" s="6" customFormat="1" ht="12.75">
      <c r="A230" s="50">
        <v>184</v>
      </c>
      <c r="B230" s="50" t="s">
        <v>238</v>
      </c>
      <c r="C230" s="51" t="s">
        <v>239</v>
      </c>
      <c r="D230" s="51" t="s">
        <v>81</v>
      </c>
      <c r="E230" s="52">
        <v>0.2073</v>
      </c>
      <c r="F230" s="51">
        <f>(3051.42-3051.4)*1.2</f>
        <v>0.02399999999997817</v>
      </c>
      <c r="G230" s="51">
        <f>3051.4*1.2</f>
        <v>3661.68</v>
      </c>
      <c r="H230" s="51">
        <f>632.56*1.2</f>
        <v>759.0719999999999</v>
      </c>
      <c r="I230" s="51">
        <f>(632.56-632.56)*1.2</f>
        <v>0</v>
      </c>
      <c r="J230" s="51">
        <f>632.56*1.2</f>
        <v>759.0719999999999</v>
      </c>
      <c r="K230" s="18"/>
      <c r="L230" s="19"/>
      <c r="M230" s="18"/>
      <c r="N230" s="12"/>
    </row>
    <row r="231" spans="1:14" s="6" customFormat="1" ht="127.5">
      <c r="A231" s="50">
        <v>185</v>
      </c>
      <c r="B231" s="50" t="s">
        <v>283</v>
      </c>
      <c r="C231" s="51" t="s">
        <v>315</v>
      </c>
      <c r="D231" s="51" t="s">
        <v>31</v>
      </c>
      <c r="E231" s="52">
        <v>0.1016</v>
      </c>
      <c r="F231" s="51">
        <f>(13695.57-14.94)*1.2</f>
        <v>16416.755999999998</v>
      </c>
      <c r="G231" s="51">
        <f>14.94*1.2</f>
        <v>17.927999999999997</v>
      </c>
      <c r="H231" s="51">
        <f>1391.47*1.2</f>
        <v>1669.764</v>
      </c>
      <c r="I231" s="51">
        <f>(1391.47-1.52)*1.2</f>
        <v>1667.94</v>
      </c>
      <c r="J231" s="51">
        <f>1.52*1.2</f>
        <v>1.8239999999999998</v>
      </c>
      <c r="K231" s="18"/>
      <c r="L231" s="19"/>
      <c r="M231" s="18"/>
      <c r="N231" s="12"/>
    </row>
    <row r="232" spans="1:14" s="6" customFormat="1" ht="25.5">
      <c r="A232" s="50">
        <v>186</v>
      </c>
      <c r="B232" s="50" t="s">
        <v>285</v>
      </c>
      <c r="C232" s="51" t="s">
        <v>286</v>
      </c>
      <c r="D232" s="51" t="s">
        <v>60</v>
      </c>
      <c r="E232" s="52">
        <v>10.36</v>
      </c>
      <c r="F232" s="51">
        <f>(161.89-161.89)*1.2</f>
        <v>0</v>
      </c>
      <c r="G232" s="51">
        <f>161.89*1.2</f>
        <v>194.26799999999997</v>
      </c>
      <c r="H232" s="51">
        <f>1677.18*1.2</f>
        <v>2012.616</v>
      </c>
      <c r="I232" s="51">
        <f>(1677.18-1677.18)*1.2</f>
        <v>0</v>
      </c>
      <c r="J232" s="51">
        <f>1677.18*1.2</f>
        <v>2012.616</v>
      </c>
      <c r="K232" s="18"/>
      <c r="L232" s="19"/>
      <c r="M232" s="18"/>
      <c r="N232" s="12"/>
    </row>
    <row r="233" spans="1:14" s="6" customFormat="1" ht="12.75">
      <c r="A233" s="50">
        <v>187</v>
      </c>
      <c r="B233" s="50" t="s">
        <v>287</v>
      </c>
      <c r="C233" s="51" t="s">
        <v>288</v>
      </c>
      <c r="D233" s="51" t="s">
        <v>38</v>
      </c>
      <c r="E233" s="52">
        <v>0.00508</v>
      </c>
      <c r="F233" s="51">
        <f>(62856.3-62855.33)*1.2</f>
        <v>1.164000000001397</v>
      </c>
      <c r="G233" s="51">
        <f>62855.33*1.2</f>
        <v>75426.396</v>
      </c>
      <c r="H233" s="51">
        <f>319.31*1.2</f>
        <v>383.17199999999997</v>
      </c>
      <c r="I233" s="51">
        <f>(319.31-319.31)*1.2</f>
        <v>0</v>
      </c>
      <c r="J233" s="51">
        <f>319.31*1.2</f>
        <v>383.17199999999997</v>
      </c>
      <c r="K233" s="18"/>
      <c r="L233" s="19"/>
      <c r="M233" s="18"/>
      <c r="N233" s="12"/>
    </row>
    <row r="234" spans="1:14" s="6" customFormat="1" ht="216.75">
      <c r="A234" s="50">
        <v>188</v>
      </c>
      <c r="B234" s="50" t="s">
        <v>261</v>
      </c>
      <c r="C234" s="51" t="s">
        <v>316</v>
      </c>
      <c r="D234" s="51" t="s">
        <v>131</v>
      </c>
      <c r="E234" s="52">
        <v>0.108</v>
      </c>
      <c r="F234" s="51">
        <f>(2517.31-200.14)*1.2</f>
        <v>2780.604</v>
      </c>
      <c r="G234" s="51">
        <f>200.14*1.2</f>
        <v>240.16799999999998</v>
      </c>
      <c r="H234" s="51">
        <f>271.87*1.2</f>
        <v>326.24399999999997</v>
      </c>
      <c r="I234" s="51">
        <f>(271.87-21.61)*1.2</f>
        <v>300.31199999999995</v>
      </c>
      <c r="J234" s="51">
        <f>21.61*1.2</f>
        <v>25.932</v>
      </c>
      <c r="K234" s="18"/>
      <c r="L234" s="19"/>
      <c r="M234" s="18"/>
      <c r="N234" s="12"/>
    </row>
    <row r="235" spans="1:14" s="6" customFormat="1" ht="12.75">
      <c r="A235" s="50">
        <v>189</v>
      </c>
      <c r="B235" s="50" t="s">
        <v>263</v>
      </c>
      <c r="C235" s="51" t="s">
        <v>264</v>
      </c>
      <c r="D235" s="51" t="s">
        <v>134</v>
      </c>
      <c r="E235" s="52">
        <v>10.91</v>
      </c>
      <c r="F235" s="51">
        <f>(7.87-7.87)*1.2</f>
        <v>0</v>
      </c>
      <c r="G235" s="51">
        <f>7.87*1.2</f>
        <v>9.443999999999999</v>
      </c>
      <c r="H235" s="51">
        <f>85.86*1.2</f>
        <v>103.032</v>
      </c>
      <c r="I235" s="51">
        <f>(85.86-85.86)*1.2</f>
        <v>0</v>
      </c>
      <c r="J235" s="51">
        <f>85.86*1.2</f>
        <v>103.032</v>
      </c>
      <c r="K235" s="18"/>
      <c r="L235" s="19"/>
      <c r="M235" s="18"/>
      <c r="N235" s="12"/>
    </row>
    <row r="236" spans="1:14" s="6" customFormat="1" ht="12.75">
      <c r="A236" s="50">
        <v>190</v>
      </c>
      <c r="B236" s="50" t="s">
        <v>265</v>
      </c>
      <c r="C236" s="51" t="s">
        <v>266</v>
      </c>
      <c r="D236" s="51" t="s">
        <v>267</v>
      </c>
      <c r="E236" s="52">
        <v>0.00864</v>
      </c>
      <c r="F236" s="51">
        <f>(618.06-618)*1.2</f>
        <v>0.07199999999993452</v>
      </c>
      <c r="G236" s="51">
        <f>618*1.2</f>
        <v>741.6</v>
      </c>
      <c r="H236" s="51">
        <f>5.34*1.2</f>
        <v>6.4079999999999995</v>
      </c>
      <c r="I236" s="51">
        <f>(5.34-5.34)*1.2</f>
        <v>0</v>
      </c>
      <c r="J236" s="51">
        <f>5.34*1.2</f>
        <v>6.4079999999999995</v>
      </c>
      <c r="K236" s="18"/>
      <c r="L236" s="19"/>
      <c r="M236" s="18"/>
      <c r="N236" s="12"/>
    </row>
    <row r="237" spans="1:14" s="6" customFormat="1" ht="12.75">
      <c r="A237" s="50">
        <v>191</v>
      </c>
      <c r="B237" s="50" t="s">
        <v>268</v>
      </c>
      <c r="C237" s="51" t="s">
        <v>269</v>
      </c>
      <c r="D237" s="51" t="s">
        <v>267</v>
      </c>
      <c r="E237" s="52">
        <v>0.00864</v>
      </c>
      <c r="F237" s="51">
        <f>(618.06-618)*1.2</f>
        <v>0.07199999999993452</v>
      </c>
      <c r="G237" s="51">
        <f>618*1.2</f>
        <v>741.6</v>
      </c>
      <c r="H237" s="51">
        <f>5.34*1.2</f>
        <v>6.4079999999999995</v>
      </c>
      <c r="I237" s="51">
        <f>(5.34-5.34)*1.2</f>
        <v>0</v>
      </c>
      <c r="J237" s="51">
        <f>5.34*1.2</f>
        <v>6.4079999999999995</v>
      </c>
      <c r="K237" s="18"/>
      <c r="L237" s="19"/>
      <c r="M237" s="18"/>
      <c r="N237" s="12"/>
    </row>
    <row r="238" spans="1:14" s="6" customFormat="1" ht="12.75">
      <c r="A238" s="50">
        <v>192</v>
      </c>
      <c r="B238" s="50" t="s">
        <v>270</v>
      </c>
      <c r="C238" s="51" t="s">
        <v>271</v>
      </c>
      <c r="D238" s="51" t="s">
        <v>267</v>
      </c>
      <c r="E238" s="52">
        <v>0.0432</v>
      </c>
      <c r="F238" s="51">
        <f>(878.94-879)*1.2</f>
        <v>-0.07199999999993452</v>
      </c>
      <c r="G238" s="51">
        <f>879*1.2</f>
        <v>1054.8</v>
      </c>
      <c r="H238" s="51">
        <f>37.97*1.2</f>
        <v>45.564</v>
      </c>
      <c r="I238" s="51">
        <f>(37.97-37.97)*1.2</f>
        <v>0</v>
      </c>
      <c r="J238" s="51">
        <f>37.97*1.2</f>
        <v>45.564</v>
      </c>
      <c r="K238" s="18"/>
      <c r="L238" s="19"/>
      <c r="M238" s="18"/>
      <c r="N238" s="12"/>
    </row>
    <row r="239" spans="1:14" s="6" customFormat="1" ht="12.75">
      <c r="A239" s="50">
        <v>193</v>
      </c>
      <c r="B239" s="50" t="s">
        <v>272</v>
      </c>
      <c r="C239" s="51" t="s">
        <v>273</v>
      </c>
      <c r="D239" s="51" t="s">
        <v>267</v>
      </c>
      <c r="E239" s="52">
        <v>0.00756</v>
      </c>
      <c r="F239" s="51">
        <f>(793.65-793)*1.2</f>
        <v>0.7799999999999727</v>
      </c>
      <c r="G239" s="51">
        <f>793*1.2</f>
        <v>951.5999999999999</v>
      </c>
      <c r="H239" s="51">
        <f>6*1.2</f>
        <v>7.199999999999999</v>
      </c>
      <c r="I239" s="51">
        <f>(6-6)*1.2</f>
        <v>0</v>
      </c>
      <c r="J239" s="51">
        <f>6*1.2</f>
        <v>7.199999999999999</v>
      </c>
      <c r="K239" s="18"/>
      <c r="L239" s="19"/>
      <c r="M239" s="18"/>
      <c r="N239" s="12"/>
    </row>
    <row r="240" spans="1:14" s="6" customFormat="1" ht="12.75">
      <c r="A240" s="50">
        <v>194</v>
      </c>
      <c r="B240" s="50" t="s">
        <v>274</v>
      </c>
      <c r="C240" s="51" t="s">
        <v>275</v>
      </c>
      <c r="D240" s="51" t="s">
        <v>267</v>
      </c>
      <c r="E240" s="52">
        <v>0.00756</v>
      </c>
      <c r="F240" s="51">
        <f>(793.65-793)*1.2</f>
        <v>0.7799999999999727</v>
      </c>
      <c r="G240" s="51">
        <f>793*1.2</f>
        <v>951.5999999999999</v>
      </c>
      <c r="H240" s="51">
        <f>6*1.2</f>
        <v>7.199999999999999</v>
      </c>
      <c r="I240" s="51">
        <f>(6-6)*1.2</f>
        <v>0</v>
      </c>
      <c r="J240" s="51">
        <f>6*1.2</f>
        <v>7.199999999999999</v>
      </c>
      <c r="K240" s="18"/>
      <c r="L240" s="19"/>
      <c r="M240" s="18"/>
      <c r="N240" s="12"/>
    </row>
    <row r="241" spans="1:14" s="6" customFormat="1" ht="18" customHeight="1">
      <c r="A241" s="77" t="s">
        <v>317</v>
      </c>
      <c r="B241" s="78"/>
      <c r="C241" s="78"/>
      <c r="D241" s="78"/>
      <c r="E241" s="78"/>
      <c r="F241" s="78"/>
      <c r="G241" s="78"/>
      <c r="H241" s="78"/>
      <c r="I241" s="78"/>
      <c r="J241" s="78"/>
      <c r="K241" s="18"/>
      <c r="L241" s="19"/>
      <c r="M241" s="18"/>
      <c r="N241" s="12"/>
    </row>
    <row r="242" spans="1:14" s="6" customFormat="1" ht="140.25">
      <c r="A242" s="50">
        <v>195</v>
      </c>
      <c r="B242" s="50" t="s">
        <v>236</v>
      </c>
      <c r="C242" s="51" t="s">
        <v>318</v>
      </c>
      <c r="D242" s="51" t="s">
        <v>31</v>
      </c>
      <c r="E242" s="52">
        <v>2.3533</v>
      </c>
      <c r="F242" s="51">
        <f>(12403.96-65.7)*1.2</f>
        <v>14805.911999999997</v>
      </c>
      <c r="G242" s="51">
        <f>65.7*1.2</f>
        <v>78.84</v>
      </c>
      <c r="H242" s="51">
        <f>29190.25*1.2</f>
        <v>35028.299999999996</v>
      </c>
      <c r="I242" s="51">
        <f>(29190.25-154.62)*1.2</f>
        <v>34842.756</v>
      </c>
      <c r="J242" s="51">
        <f>154.62*1.2</f>
        <v>185.544</v>
      </c>
      <c r="K242" s="18"/>
      <c r="L242" s="19"/>
      <c r="M242" s="18"/>
      <c r="N242" s="12"/>
    </row>
    <row r="243" spans="1:14" s="6" customFormat="1" ht="12.75">
      <c r="A243" s="50">
        <v>196</v>
      </c>
      <c r="B243" s="50" t="s">
        <v>238</v>
      </c>
      <c r="C243" s="51" t="s">
        <v>239</v>
      </c>
      <c r="D243" s="51" t="s">
        <v>81</v>
      </c>
      <c r="E243" s="52">
        <v>4.801</v>
      </c>
      <c r="F243" s="51">
        <f>(3051.4-3051.4)*1.2</f>
        <v>0</v>
      </c>
      <c r="G243" s="51">
        <f>3051.4*1.2</f>
        <v>3661.68</v>
      </c>
      <c r="H243" s="51">
        <f>14649.77*1.2</f>
        <v>17579.724</v>
      </c>
      <c r="I243" s="51">
        <f>(14649.77-14649.77)*1.2</f>
        <v>0</v>
      </c>
      <c r="J243" s="51">
        <f>14649.77*1.2</f>
        <v>17579.724</v>
      </c>
      <c r="K243" s="18"/>
      <c r="L243" s="19"/>
      <c r="M243" s="18"/>
      <c r="N243" s="12"/>
    </row>
    <row r="244" spans="1:14" s="6" customFormat="1" ht="178.5">
      <c r="A244" s="50">
        <v>197</v>
      </c>
      <c r="B244" s="50" t="s">
        <v>240</v>
      </c>
      <c r="C244" s="51" t="s">
        <v>319</v>
      </c>
      <c r="D244" s="51" t="s">
        <v>81</v>
      </c>
      <c r="E244" s="52">
        <v>11.7665</v>
      </c>
      <c r="F244" s="51">
        <f>(4017.79-752.57)*1.2</f>
        <v>3918.2639999999997</v>
      </c>
      <c r="G244" s="51">
        <f>752.57*1.2</f>
        <v>903.0840000000001</v>
      </c>
      <c r="H244" s="51">
        <f>47275.29*1.2</f>
        <v>56730.348</v>
      </c>
      <c r="I244" s="51">
        <f>(47275.29-8855.11)*1.2</f>
        <v>46104.216</v>
      </c>
      <c r="J244" s="51">
        <f>8855.11*1.2</f>
        <v>10626.132</v>
      </c>
      <c r="K244" s="18"/>
      <c r="L244" s="19"/>
      <c r="M244" s="18"/>
      <c r="N244" s="12"/>
    </row>
    <row r="245" spans="1:14" s="6" customFormat="1" ht="12.75">
      <c r="A245" s="50">
        <v>198</v>
      </c>
      <c r="B245" s="50" t="s">
        <v>279</v>
      </c>
      <c r="C245" s="51" t="s">
        <v>280</v>
      </c>
      <c r="D245" s="51" t="s">
        <v>81</v>
      </c>
      <c r="E245" s="52">
        <v>11.65</v>
      </c>
      <c r="F245" s="51">
        <f>(2799.07-2799.07)*1.2</f>
        <v>0</v>
      </c>
      <c r="G245" s="51">
        <f>2799.07*1.2</f>
        <v>3358.884</v>
      </c>
      <c r="H245" s="51">
        <f>32609.17*1.2</f>
        <v>39131.00399999999</v>
      </c>
      <c r="I245" s="51">
        <f>(32609.17-32609.17)*1.2</f>
        <v>0</v>
      </c>
      <c r="J245" s="51">
        <f>32609.17*1.2</f>
        <v>39131.00399999999</v>
      </c>
      <c r="K245" s="18"/>
      <c r="L245" s="19"/>
      <c r="M245" s="18"/>
      <c r="N245" s="12"/>
    </row>
    <row r="246" spans="1:14" s="67" customFormat="1" ht="63.75">
      <c r="A246" s="58">
        <v>199</v>
      </c>
      <c r="B246" s="58" t="s">
        <v>236</v>
      </c>
      <c r="C246" s="59" t="s">
        <v>519</v>
      </c>
      <c r="D246" s="59" t="s">
        <v>31</v>
      </c>
      <c r="E246" s="60">
        <v>2.3533</v>
      </c>
      <c r="F246" s="59">
        <f>(12403.96-65.7)*1.2</f>
        <v>14805.911999999997</v>
      </c>
      <c r="G246" s="59">
        <f>65.7*1.2</f>
        <v>78.84</v>
      </c>
      <c r="H246" s="59">
        <f>29190.25*1.2</f>
        <v>35028.299999999996</v>
      </c>
      <c r="I246" s="59">
        <f>(29190.25-154.62)*1.2</f>
        <v>34842.756</v>
      </c>
      <c r="J246" s="59">
        <f>154.62*1.2</f>
        <v>185.544</v>
      </c>
      <c r="K246" s="64"/>
      <c r="L246" s="65"/>
      <c r="M246" s="64"/>
      <c r="N246" s="66"/>
    </row>
    <row r="247" spans="1:14" s="67" customFormat="1" ht="12.75">
      <c r="A247" s="58">
        <v>200</v>
      </c>
      <c r="B247" s="58" t="s">
        <v>238</v>
      </c>
      <c r="C247" s="59" t="s">
        <v>239</v>
      </c>
      <c r="D247" s="59" t="s">
        <v>81</v>
      </c>
      <c r="E247" s="60">
        <v>4.801</v>
      </c>
      <c r="F247" s="59">
        <f>(3051.4-3051.4)*1.2</f>
        <v>0</v>
      </c>
      <c r="G247" s="59">
        <f>3051.4*1.2</f>
        <v>3661.68</v>
      </c>
      <c r="H247" s="59">
        <f>14649.77*1.2</f>
        <v>17579.724</v>
      </c>
      <c r="I247" s="59">
        <f>(14649.77-14649.77)*1.2</f>
        <v>0</v>
      </c>
      <c r="J247" s="59">
        <f>14649.77*1.2</f>
        <v>17579.724</v>
      </c>
      <c r="K247" s="64"/>
      <c r="L247" s="65"/>
      <c r="M247" s="64"/>
      <c r="N247" s="66"/>
    </row>
    <row r="248" spans="1:14" s="67" customFormat="1" ht="63.75">
      <c r="A248" s="68">
        <v>201</v>
      </c>
      <c r="B248" s="68" t="s">
        <v>281</v>
      </c>
      <c r="C248" s="61" t="s">
        <v>520</v>
      </c>
      <c r="D248" s="61" t="s">
        <v>31</v>
      </c>
      <c r="E248" s="69">
        <v>2.3533</v>
      </c>
      <c r="F248" s="61">
        <f>(1260.04-0)*1.2</f>
        <v>1512.048</v>
      </c>
      <c r="G248" s="61">
        <f>0*1.2</f>
        <v>0</v>
      </c>
      <c r="H248" s="61">
        <f>2965.25*1.2</f>
        <v>3558.2999999999997</v>
      </c>
      <c r="I248" s="61">
        <f>(2965.25-0)*1.2</f>
        <v>3558.2999999999997</v>
      </c>
      <c r="J248" s="61">
        <f>0*1.2</f>
        <v>0</v>
      </c>
      <c r="K248" s="70"/>
      <c r="L248" s="71"/>
      <c r="M248" s="72">
        <f>F246+F248+F250</f>
        <v>138842.98799999998</v>
      </c>
      <c r="N248" s="66"/>
    </row>
    <row r="249" spans="1:14" s="67" customFormat="1" ht="12.75">
      <c r="A249" s="68">
        <v>202</v>
      </c>
      <c r="B249" s="68" t="s">
        <v>238</v>
      </c>
      <c r="C249" s="61" t="s">
        <v>239</v>
      </c>
      <c r="D249" s="61" t="s">
        <v>81</v>
      </c>
      <c r="E249" s="69">
        <v>6.001</v>
      </c>
      <c r="F249" s="61">
        <f>(3051.4-3051.4)*1.2</f>
        <v>0</v>
      </c>
      <c r="G249" s="61">
        <f>3051.4*1.2</f>
        <v>3661.68</v>
      </c>
      <c r="H249" s="61">
        <f>18311.45*1.2</f>
        <v>21973.74</v>
      </c>
      <c r="I249" s="61">
        <f>(18311.45-18311.45)*1.2</f>
        <v>0</v>
      </c>
      <c r="J249" s="61">
        <f>18311.45*1.2</f>
        <v>21973.74</v>
      </c>
      <c r="K249" s="70"/>
      <c r="L249" s="71"/>
      <c r="M249" s="70"/>
      <c r="N249" s="66"/>
    </row>
    <row r="250" spans="1:14" s="67" customFormat="1" ht="114.75">
      <c r="A250" s="68">
        <v>203</v>
      </c>
      <c r="B250" s="68" t="s">
        <v>77</v>
      </c>
      <c r="C250" s="61" t="s">
        <v>521</v>
      </c>
      <c r="D250" s="61" t="s">
        <v>31</v>
      </c>
      <c r="E250" s="69">
        <v>2.3533</v>
      </c>
      <c r="F250" s="61">
        <f>(152482.98-50378.79)*1.2</f>
        <v>122525.02799999999</v>
      </c>
      <c r="G250" s="61">
        <f>50378.79*1.2</f>
        <v>60454.547999999995</v>
      </c>
      <c r="H250" s="61">
        <f>358838.2*1.2</f>
        <v>430605.84</v>
      </c>
      <c r="I250" s="61">
        <f>(358838.2-118556.41)*1.2</f>
        <v>288338.148</v>
      </c>
      <c r="J250" s="61">
        <f>118556.41*1.2</f>
        <v>142267.692</v>
      </c>
      <c r="K250" s="70"/>
      <c r="L250" s="71"/>
      <c r="M250" s="70"/>
      <c r="N250" s="66"/>
    </row>
    <row r="251" spans="1:14" s="67" customFormat="1" ht="12.75">
      <c r="A251" s="68">
        <v>204</v>
      </c>
      <c r="B251" s="68" t="s">
        <v>79</v>
      </c>
      <c r="C251" s="61" t="s">
        <v>80</v>
      </c>
      <c r="D251" s="61" t="s">
        <v>81</v>
      </c>
      <c r="E251" s="69">
        <v>0.0235</v>
      </c>
      <c r="F251" s="61">
        <f>(5241.28-5241.16)*1.2</f>
        <v>0.14399999999986904</v>
      </c>
      <c r="G251" s="61">
        <f>5241.16*1.2</f>
        <v>6289.392</v>
      </c>
      <c r="H251" s="61">
        <f>123.17*1.2</f>
        <v>147.804</v>
      </c>
      <c r="I251" s="61">
        <f>(123.17-123.17)*1.2</f>
        <v>0</v>
      </c>
      <c r="J251" s="61">
        <f>123.17*1.2</f>
        <v>147.804</v>
      </c>
      <c r="K251" s="70"/>
      <c r="L251" s="71"/>
      <c r="M251" s="70"/>
      <c r="N251" s="66"/>
    </row>
    <row r="252" spans="1:14" s="67" customFormat="1" ht="12.75">
      <c r="A252" s="68">
        <v>205</v>
      </c>
      <c r="B252" s="68" t="s">
        <v>320</v>
      </c>
      <c r="C252" s="61" t="s">
        <v>321</v>
      </c>
      <c r="D252" s="61" t="s">
        <v>38</v>
      </c>
      <c r="E252" s="69">
        <v>0.030593</v>
      </c>
      <c r="F252" s="61">
        <f>(42513.97-42513.97)*1.2</f>
        <v>0</v>
      </c>
      <c r="G252" s="61">
        <f>42513.97*1.2</f>
        <v>51016.764</v>
      </c>
      <c r="H252" s="61">
        <f>1300.63*1.2</f>
        <v>1560.756</v>
      </c>
      <c r="I252" s="61">
        <f>(1300.63-1300.63)*1.2</f>
        <v>0</v>
      </c>
      <c r="J252" s="61">
        <f>1300.63*1.2</f>
        <v>1560.756</v>
      </c>
      <c r="K252" s="70"/>
      <c r="L252" s="71"/>
      <c r="M252" s="70"/>
      <c r="N252" s="66"/>
    </row>
    <row r="253" spans="1:14" s="6" customFormat="1" ht="18" customHeight="1">
      <c r="A253" s="81" t="s">
        <v>322</v>
      </c>
      <c r="B253" s="82"/>
      <c r="C253" s="82"/>
      <c r="D253" s="82"/>
      <c r="E253" s="82"/>
      <c r="F253" s="82"/>
      <c r="G253" s="82"/>
      <c r="H253" s="82"/>
      <c r="I253" s="82"/>
      <c r="J253" s="82"/>
      <c r="K253" s="70"/>
      <c r="L253" s="71"/>
      <c r="M253" s="70"/>
      <c r="N253" s="12"/>
    </row>
    <row r="254" spans="1:14" s="6" customFormat="1" ht="140.25">
      <c r="A254" s="68">
        <v>206</v>
      </c>
      <c r="B254" s="68" t="s">
        <v>236</v>
      </c>
      <c r="C254" s="61" t="s">
        <v>323</v>
      </c>
      <c r="D254" s="61" t="s">
        <v>31</v>
      </c>
      <c r="E254" s="69">
        <v>0.037</v>
      </c>
      <c r="F254" s="61">
        <f>(12403.78-65.7)*1.2</f>
        <v>14805.696</v>
      </c>
      <c r="G254" s="61">
        <f>65.7*1.2</f>
        <v>78.84</v>
      </c>
      <c r="H254" s="61">
        <f>458.94*1.2</f>
        <v>550.728</v>
      </c>
      <c r="I254" s="61">
        <f>(458.94-2.43)*1.2</f>
        <v>547.812</v>
      </c>
      <c r="J254" s="61">
        <f>2.43*1.2</f>
        <v>2.916</v>
      </c>
      <c r="K254" s="70"/>
      <c r="L254" s="71"/>
      <c r="M254" s="70"/>
      <c r="N254" s="12"/>
    </row>
    <row r="255" spans="1:14" s="6" customFormat="1" ht="12.75">
      <c r="A255" s="50">
        <v>207</v>
      </c>
      <c r="B255" s="50" t="s">
        <v>238</v>
      </c>
      <c r="C255" s="51" t="s">
        <v>239</v>
      </c>
      <c r="D255" s="51" t="s">
        <v>81</v>
      </c>
      <c r="E255" s="52">
        <v>0.0755</v>
      </c>
      <c r="F255" s="51">
        <f>(3051.39-3051.4)*1.2</f>
        <v>-0.012000000000261935</v>
      </c>
      <c r="G255" s="51">
        <f>3051.4*1.2</f>
        <v>3661.68</v>
      </c>
      <c r="H255" s="51">
        <f>230.38*1.2</f>
        <v>276.45599999999996</v>
      </c>
      <c r="I255" s="51">
        <f>(230.38-230.38)*1.2</f>
        <v>0</v>
      </c>
      <c r="J255" s="51">
        <f>230.38*1.2</f>
        <v>276.45599999999996</v>
      </c>
      <c r="K255" s="18"/>
      <c r="L255" s="19"/>
      <c r="M255" s="18"/>
      <c r="N255" s="12"/>
    </row>
    <row r="256" spans="1:14" s="6" customFormat="1" ht="178.5">
      <c r="A256" s="50">
        <v>208</v>
      </c>
      <c r="B256" s="50" t="s">
        <v>240</v>
      </c>
      <c r="C256" s="51" t="s">
        <v>324</v>
      </c>
      <c r="D256" s="51" t="s">
        <v>81</v>
      </c>
      <c r="E256" s="52">
        <v>0.185</v>
      </c>
      <c r="F256" s="51">
        <f>(4017.84-752.57)*1.2</f>
        <v>3918.3239999999996</v>
      </c>
      <c r="G256" s="51">
        <f>752.57*1.2</f>
        <v>903.0840000000001</v>
      </c>
      <c r="H256" s="51">
        <f>743.3*1.2</f>
        <v>891.9599999999999</v>
      </c>
      <c r="I256" s="51">
        <f>(743.3-139.23)*1.2</f>
        <v>724.8839999999999</v>
      </c>
      <c r="J256" s="51">
        <f>139.23*1.2</f>
        <v>167.076</v>
      </c>
      <c r="K256" s="18"/>
      <c r="L256" s="19"/>
      <c r="M256" s="18"/>
      <c r="N256" s="12"/>
    </row>
    <row r="257" spans="1:14" s="6" customFormat="1" ht="12.75">
      <c r="A257" s="50">
        <v>209</v>
      </c>
      <c r="B257" s="50" t="s">
        <v>279</v>
      </c>
      <c r="C257" s="51" t="s">
        <v>280</v>
      </c>
      <c r="D257" s="51" t="s">
        <v>81</v>
      </c>
      <c r="E257" s="52">
        <v>0.1832</v>
      </c>
      <c r="F257" s="51">
        <f>(2799.07-2799.07)*1.2</f>
        <v>0</v>
      </c>
      <c r="G257" s="51">
        <f>2799.07*1.2</f>
        <v>3358.884</v>
      </c>
      <c r="H257" s="51">
        <f>512.79*1.2</f>
        <v>615.348</v>
      </c>
      <c r="I257" s="51">
        <f>(512.79-512.79)*1.2</f>
        <v>0</v>
      </c>
      <c r="J257" s="51">
        <f>512.79*1.2</f>
        <v>615.348</v>
      </c>
      <c r="K257" s="18"/>
      <c r="L257" s="19"/>
      <c r="M257" s="18"/>
      <c r="N257" s="12"/>
    </row>
    <row r="258" spans="1:14" s="6" customFormat="1" ht="140.25">
      <c r="A258" s="50">
        <v>210</v>
      </c>
      <c r="B258" s="50" t="s">
        <v>236</v>
      </c>
      <c r="C258" s="51" t="s">
        <v>323</v>
      </c>
      <c r="D258" s="51" t="s">
        <v>31</v>
      </c>
      <c r="E258" s="52">
        <v>0.037</v>
      </c>
      <c r="F258" s="51">
        <f>(12403.78-65.7)*1.2</f>
        <v>14805.696</v>
      </c>
      <c r="G258" s="51">
        <f>65.7*1.2</f>
        <v>78.84</v>
      </c>
      <c r="H258" s="51">
        <f>458.94*1.2</f>
        <v>550.728</v>
      </c>
      <c r="I258" s="51">
        <f>(458.94-2.43)*1.2</f>
        <v>547.812</v>
      </c>
      <c r="J258" s="51">
        <f>2.43*1.2</f>
        <v>2.916</v>
      </c>
      <c r="K258" s="18"/>
      <c r="L258" s="19"/>
      <c r="M258" s="18"/>
      <c r="N258" s="12"/>
    </row>
    <row r="259" spans="1:14" s="6" customFormat="1" ht="12.75">
      <c r="A259" s="50">
        <v>211</v>
      </c>
      <c r="B259" s="50" t="s">
        <v>238</v>
      </c>
      <c r="C259" s="51" t="s">
        <v>239</v>
      </c>
      <c r="D259" s="51" t="s">
        <v>81</v>
      </c>
      <c r="E259" s="52">
        <v>0.0755</v>
      </c>
      <c r="F259" s="51">
        <f>(3051.39-3051.4)*1.2</f>
        <v>-0.012000000000261935</v>
      </c>
      <c r="G259" s="51">
        <f>3051.4*1.2</f>
        <v>3661.68</v>
      </c>
      <c r="H259" s="51">
        <f>230.38*1.2</f>
        <v>276.45599999999996</v>
      </c>
      <c r="I259" s="51">
        <f>(230.38-230.38)*1.2</f>
        <v>0</v>
      </c>
      <c r="J259" s="51">
        <f>230.38*1.2</f>
        <v>276.45599999999996</v>
      </c>
      <c r="K259" s="18"/>
      <c r="L259" s="19"/>
      <c r="M259" s="18"/>
      <c r="N259" s="12"/>
    </row>
    <row r="260" spans="1:14" s="6" customFormat="1" ht="140.25">
      <c r="A260" s="50">
        <v>212</v>
      </c>
      <c r="B260" s="50" t="s">
        <v>281</v>
      </c>
      <c r="C260" s="51" t="s">
        <v>325</v>
      </c>
      <c r="D260" s="51" t="s">
        <v>31</v>
      </c>
      <c r="E260" s="52">
        <v>0.037</v>
      </c>
      <c r="F260" s="51">
        <f>(1360.54-0)*1.2</f>
        <v>1632.648</v>
      </c>
      <c r="G260" s="51">
        <f>0*1.2</f>
        <v>0</v>
      </c>
      <c r="H260" s="51">
        <f>50.34*1.2</f>
        <v>60.408</v>
      </c>
      <c r="I260" s="51">
        <f>(50.34-0)*1.2</f>
        <v>60.408</v>
      </c>
      <c r="J260" s="51">
        <f>0*1.2</f>
        <v>0</v>
      </c>
      <c r="K260" s="18"/>
      <c r="L260" s="19"/>
      <c r="M260" s="18"/>
      <c r="N260" s="12"/>
    </row>
    <row r="261" spans="1:14" s="6" customFormat="1" ht="12.75">
      <c r="A261" s="50">
        <v>213</v>
      </c>
      <c r="B261" s="50" t="s">
        <v>238</v>
      </c>
      <c r="C261" s="51" t="s">
        <v>239</v>
      </c>
      <c r="D261" s="51" t="s">
        <v>81</v>
      </c>
      <c r="E261" s="52">
        <v>0.1019</v>
      </c>
      <c r="F261" s="51">
        <f>(3051.42-3051.4)*1.2</f>
        <v>0.02399999999997817</v>
      </c>
      <c r="G261" s="51">
        <f>3051.4*1.2</f>
        <v>3661.68</v>
      </c>
      <c r="H261" s="51">
        <f>310.94*1.2</f>
        <v>373.128</v>
      </c>
      <c r="I261" s="51">
        <f>(310.94-310.94)*1.2</f>
        <v>0</v>
      </c>
      <c r="J261" s="51">
        <f>310.94*1.2</f>
        <v>373.128</v>
      </c>
      <c r="K261" s="18"/>
      <c r="L261" s="19"/>
      <c r="M261" s="18"/>
      <c r="N261" s="12"/>
    </row>
    <row r="262" spans="1:14" s="6" customFormat="1" ht="191.25">
      <c r="A262" s="50">
        <v>214</v>
      </c>
      <c r="B262" s="50" t="s">
        <v>298</v>
      </c>
      <c r="C262" s="51" t="s">
        <v>326</v>
      </c>
      <c r="D262" s="51" t="s">
        <v>31</v>
      </c>
      <c r="E262" s="52">
        <v>0.037</v>
      </c>
      <c r="F262" s="51">
        <f>(75440.27-34259.24)*1.2</f>
        <v>49417.236000000004</v>
      </c>
      <c r="G262" s="51">
        <f>34259.24*1.2</f>
        <v>41111.087999999996</v>
      </c>
      <c r="H262" s="51">
        <f>2791.29*1.2</f>
        <v>3349.548</v>
      </c>
      <c r="I262" s="51">
        <f>(2791.29-1267.59)*1.2</f>
        <v>1828.44</v>
      </c>
      <c r="J262" s="51">
        <f>1267.59*1.2</f>
        <v>1521.108</v>
      </c>
      <c r="K262" s="18"/>
      <c r="L262" s="19"/>
      <c r="M262" s="18"/>
      <c r="N262" s="12"/>
    </row>
    <row r="263" spans="1:14" s="6" customFormat="1" ht="12.75">
      <c r="A263" s="50">
        <v>215</v>
      </c>
      <c r="B263" s="50" t="s">
        <v>300</v>
      </c>
      <c r="C263" s="51" t="s">
        <v>301</v>
      </c>
      <c r="D263" s="51" t="s">
        <v>41</v>
      </c>
      <c r="E263" s="52">
        <v>16.65</v>
      </c>
      <c r="F263" s="51">
        <f>(7.71-7.71)*1.2</f>
        <v>0</v>
      </c>
      <c r="G263" s="51">
        <f>7.71*1.2</f>
        <v>9.251999999999999</v>
      </c>
      <c r="H263" s="51">
        <f>128.37*1.2</f>
        <v>154.044</v>
      </c>
      <c r="I263" s="51">
        <f>(128.37-128.37)*1.2</f>
        <v>0</v>
      </c>
      <c r="J263" s="51">
        <f>128.37*1.2</f>
        <v>154.044</v>
      </c>
      <c r="K263" s="18"/>
      <c r="L263" s="19"/>
      <c r="M263" s="18"/>
      <c r="N263" s="12"/>
    </row>
    <row r="264" spans="1:14" s="6" customFormat="1" ht="18" customHeight="1">
      <c r="A264" s="77" t="s">
        <v>327</v>
      </c>
      <c r="B264" s="78"/>
      <c r="C264" s="78"/>
      <c r="D264" s="78"/>
      <c r="E264" s="78"/>
      <c r="F264" s="78"/>
      <c r="G264" s="78"/>
      <c r="H264" s="78"/>
      <c r="I264" s="78"/>
      <c r="J264" s="78"/>
      <c r="K264" s="18"/>
      <c r="L264" s="19"/>
      <c r="M264" s="18"/>
      <c r="N264" s="12"/>
    </row>
    <row r="265" spans="1:14" s="6" customFormat="1" ht="140.25">
      <c r="A265" s="50">
        <v>216</v>
      </c>
      <c r="B265" s="50" t="s">
        <v>236</v>
      </c>
      <c r="C265" s="51" t="s">
        <v>328</v>
      </c>
      <c r="D265" s="51" t="s">
        <v>31</v>
      </c>
      <c r="E265" s="52">
        <v>3.63</v>
      </c>
      <c r="F265" s="51">
        <f>(12403.96-65.7)*1.2</f>
        <v>14805.911999999997</v>
      </c>
      <c r="G265" s="51">
        <f>65.7*1.2</f>
        <v>78.84</v>
      </c>
      <c r="H265" s="51">
        <f>45026.39*1.2</f>
        <v>54031.668</v>
      </c>
      <c r="I265" s="51">
        <f>(45026.39-238.49)*1.2</f>
        <v>53745.48</v>
      </c>
      <c r="J265" s="51">
        <f>238.49*1.2</f>
        <v>286.188</v>
      </c>
      <c r="K265" s="18"/>
      <c r="L265" s="19"/>
      <c r="M265" s="18"/>
      <c r="N265" s="12"/>
    </row>
    <row r="266" spans="1:14" s="6" customFormat="1" ht="140.25">
      <c r="A266" s="50">
        <v>217</v>
      </c>
      <c r="B266" s="50" t="s">
        <v>329</v>
      </c>
      <c r="C266" s="51" t="s">
        <v>330</v>
      </c>
      <c r="D266" s="51" t="s">
        <v>31</v>
      </c>
      <c r="E266" s="52">
        <v>4.018</v>
      </c>
      <c r="F266" s="51">
        <f>(2125.36-761.64)*1.2</f>
        <v>1636.4640000000002</v>
      </c>
      <c r="G266" s="51">
        <f>761.64*1.2</f>
        <v>913.968</v>
      </c>
      <c r="H266" s="51">
        <f>8539.69*1.2</f>
        <v>10247.628</v>
      </c>
      <c r="I266" s="51">
        <f>(8539.69-3060.27)*1.2</f>
        <v>6575.304</v>
      </c>
      <c r="J266" s="51">
        <f>3060.27*1.2</f>
        <v>3672.324</v>
      </c>
      <c r="K266" s="18"/>
      <c r="L266" s="19"/>
      <c r="M266" s="18"/>
      <c r="N266" s="12"/>
    </row>
    <row r="267" spans="1:14" s="6" customFormat="1" ht="25.5">
      <c r="A267" s="50">
        <v>218</v>
      </c>
      <c r="B267" s="50" t="s">
        <v>331</v>
      </c>
      <c r="C267" s="51" t="s">
        <v>332</v>
      </c>
      <c r="D267" s="51" t="s">
        <v>60</v>
      </c>
      <c r="E267" s="52">
        <v>413.9</v>
      </c>
      <c r="F267" s="51">
        <f>(42.93-42.93)*1.2</f>
        <v>0</v>
      </c>
      <c r="G267" s="51">
        <f>42.93*1.2</f>
        <v>51.516</v>
      </c>
      <c r="H267" s="51">
        <f>17768.73*1.2</f>
        <v>21322.476</v>
      </c>
      <c r="I267" s="51">
        <f>(17768.73-17768.73)*1.2</f>
        <v>0</v>
      </c>
      <c r="J267" s="51">
        <f>17768.73*1.2</f>
        <v>21322.476</v>
      </c>
      <c r="K267" s="18"/>
      <c r="L267" s="19"/>
      <c r="M267" s="18"/>
      <c r="N267" s="12"/>
    </row>
    <row r="268" spans="1:14" s="6" customFormat="1" ht="140.25">
      <c r="A268" s="50">
        <v>219</v>
      </c>
      <c r="B268" s="50" t="s">
        <v>236</v>
      </c>
      <c r="C268" s="51" t="s">
        <v>328</v>
      </c>
      <c r="D268" s="51" t="s">
        <v>31</v>
      </c>
      <c r="E268" s="52">
        <v>3.63</v>
      </c>
      <c r="F268" s="51">
        <f>(12403.96-65.7)*1.2</f>
        <v>14805.911999999997</v>
      </c>
      <c r="G268" s="51">
        <f>65.7*1.2</f>
        <v>78.84</v>
      </c>
      <c r="H268" s="51">
        <f>45026.39*1.2</f>
        <v>54031.668</v>
      </c>
      <c r="I268" s="51">
        <f>(45026.39-238.49)*1.2</f>
        <v>53745.48</v>
      </c>
      <c r="J268" s="51">
        <f>238.49*1.2</f>
        <v>286.188</v>
      </c>
      <c r="K268" s="18"/>
      <c r="L268" s="19"/>
      <c r="M268" s="18"/>
      <c r="N268" s="12"/>
    </row>
    <row r="269" spans="1:14" s="6" customFormat="1" ht="12.75">
      <c r="A269" s="50">
        <v>220</v>
      </c>
      <c r="B269" s="50" t="s">
        <v>238</v>
      </c>
      <c r="C269" s="51" t="s">
        <v>239</v>
      </c>
      <c r="D269" s="51" t="s">
        <v>81</v>
      </c>
      <c r="E269" s="52">
        <v>7.405</v>
      </c>
      <c r="F269" s="51">
        <f>(3051.4-3051.4)*1.2</f>
        <v>0</v>
      </c>
      <c r="G269" s="51">
        <f>3051.4*1.2</f>
        <v>3661.68</v>
      </c>
      <c r="H269" s="51">
        <f>22595.62*1.2</f>
        <v>27114.744</v>
      </c>
      <c r="I269" s="51">
        <f>(22595.62-22595.62)*1.2</f>
        <v>0</v>
      </c>
      <c r="J269" s="51">
        <f>22595.62*1.2</f>
        <v>27114.744</v>
      </c>
      <c r="K269" s="18"/>
      <c r="L269" s="19"/>
      <c r="M269" s="18"/>
      <c r="N269" s="12"/>
    </row>
    <row r="270" spans="1:14" s="6" customFormat="1" ht="140.25">
      <c r="A270" s="50">
        <v>221</v>
      </c>
      <c r="B270" s="50" t="s">
        <v>281</v>
      </c>
      <c r="C270" s="51" t="s">
        <v>333</v>
      </c>
      <c r="D270" s="51" t="s">
        <v>31</v>
      </c>
      <c r="E270" s="52">
        <v>3.63</v>
      </c>
      <c r="F270" s="51">
        <f>(1008.03-0)*1.2</f>
        <v>1209.636</v>
      </c>
      <c r="G270" s="51">
        <f>0*1.2</f>
        <v>0</v>
      </c>
      <c r="H270" s="51">
        <f>3659.15*1.2</f>
        <v>4390.98</v>
      </c>
      <c r="I270" s="51">
        <f>(3659.15-0)*1.2</f>
        <v>4390.98</v>
      </c>
      <c r="J270" s="51">
        <f>0*1.2</f>
        <v>0</v>
      </c>
      <c r="K270" s="18"/>
      <c r="L270" s="19"/>
      <c r="M270" s="18"/>
      <c r="N270" s="12"/>
    </row>
    <row r="271" spans="1:14" s="6" customFormat="1" ht="12.75">
      <c r="A271" s="50">
        <v>222</v>
      </c>
      <c r="B271" s="50" t="s">
        <v>238</v>
      </c>
      <c r="C271" s="51" t="s">
        <v>239</v>
      </c>
      <c r="D271" s="51" t="s">
        <v>81</v>
      </c>
      <c r="E271" s="52">
        <v>7.405</v>
      </c>
      <c r="F271" s="51">
        <f>(3051.4-3051.4)*1.2</f>
        <v>0</v>
      </c>
      <c r="G271" s="51">
        <f>3051.4*1.2</f>
        <v>3661.68</v>
      </c>
      <c r="H271" s="51">
        <f>22595.62*1.2</f>
        <v>27114.744</v>
      </c>
      <c r="I271" s="51">
        <f>(22595.62-22595.62)*1.2</f>
        <v>0</v>
      </c>
      <c r="J271" s="51">
        <f>22595.62*1.2</f>
        <v>27114.744</v>
      </c>
      <c r="K271" s="18"/>
      <c r="L271" s="19"/>
      <c r="M271" s="18"/>
      <c r="N271" s="12"/>
    </row>
    <row r="272" spans="1:14" s="6" customFormat="1" ht="127.5">
      <c r="A272" s="50">
        <v>223</v>
      </c>
      <c r="B272" s="50" t="s">
        <v>283</v>
      </c>
      <c r="C272" s="51" t="s">
        <v>334</v>
      </c>
      <c r="D272" s="51" t="s">
        <v>31</v>
      </c>
      <c r="E272" s="52">
        <v>3.63</v>
      </c>
      <c r="F272" s="51">
        <f>(13695.65-14.94)*1.2</f>
        <v>16416.852</v>
      </c>
      <c r="G272" s="51">
        <f>14.94*1.2</f>
        <v>17.927999999999997</v>
      </c>
      <c r="H272" s="51">
        <f>49715.2*1.2</f>
        <v>59658.23999999999</v>
      </c>
      <c r="I272" s="51">
        <f>(49715.2-54.23)*1.2</f>
        <v>59593.16399999999</v>
      </c>
      <c r="J272" s="51">
        <f>54.23*1.2</f>
        <v>65.076</v>
      </c>
      <c r="K272" s="18"/>
      <c r="L272" s="19"/>
      <c r="M272" s="18"/>
      <c r="N272" s="12"/>
    </row>
    <row r="273" spans="1:14" s="6" customFormat="1" ht="25.5">
      <c r="A273" s="50">
        <v>224</v>
      </c>
      <c r="B273" s="50" t="s">
        <v>285</v>
      </c>
      <c r="C273" s="51" t="s">
        <v>286</v>
      </c>
      <c r="D273" s="51" t="s">
        <v>60</v>
      </c>
      <c r="E273" s="52">
        <v>370.3</v>
      </c>
      <c r="F273" s="51">
        <f>(161.89-161.89)*1.2</f>
        <v>0</v>
      </c>
      <c r="G273" s="51">
        <f>161.89*1.2</f>
        <v>194.26799999999997</v>
      </c>
      <c r="H273" s="51">
        <f>59947.87*1.2</f>
        <v>71937.444</v>
      </c>
      <c r="I273" s="51">
        <f>(59947.87-59947.87)*1.2</f>
        <v>0</v>
      </c>
      <c r="J273" s="51">
        <f>59947.87*1.2</f>
        <v>71937.444</v>
      </c>
      <c r="K273" s="18"/>
      <c r="L273" s="19"/>
      <c r="M273" s="18"/>
      <c r="N273" s="12"/>
    </row>
    <row r="274" spans="1:14" s="6" customFormat="1" ht="12.75">
      <c r="A274" s="50">
        <v>225</v>
      </c>
      <c r="B274" s="50" t="s">
        <v>287</v>
      </c>
      <c r="C274" s="51" t="s">
        <v>288</v>
      </c>
      <c r="D274" s="51" t="s">
        <v>38</v>
      </c>
      <c r="E274" s="52">
        <v>0.1815</v>
      </c>
      <c r="F274" s="51">
        <f>(62855.32-62855.33)*1.2</f>
        <v>-0.012000000002444722</v>
      </c>
      <c r="G274" s="51">
        <f>62855.33*1.2</f>
        <v>75426.396</v>
      </c>
      <c r="H274" s="51">
        <f>11408.24*1.2</f>
        <v>13689.887999999999</v>
      </c>
      <c r="I274" s="51">
        <f>(11408.24-11408.24)*1.2</f>
        <v>0</v>
      </c>
      <c r="J274" s="51">
        <f>11408.24*1.2</f>
        <v>13689.887999999999</v>
      </c>
      <c r="K274" s="18"/>
      <c r="L274" s="19"/>
      <c r="M274" s="18"/>
      <c r="N274" s="12"/>
    </row>
    <row r="275" spans="1:14" s="6" customFormat="1" ht="216.75">
      <c r="A275" s="50">
        <v>226</v>
      </c>
      <c r="B275" s="50" t="s">
        <v>261</v>
      </c>
      <c r="C275" s="51" t="s">
        <v>335</v>
      </c>
      <c r="D275" s="51" t="s">
        <v>131</v>
      </c>
      <c r="E275" s="52">
        <v>3.88</v>
      </c>
      <c r="F275" s="51">
        <f>(2517.39-200.14)*1.2</f>
        <v>2780.7</v>
      </c>
      <c r="G275" s="51">
        <f>200.14*1.2</f>
        <v>240.16799999999998</v>
      </c>
      <c r="H275" s="51">
        <f>9767.46*1.2</f>
        <v>11720.952</v>
      </c>
      <c r="I275" s="51">
        <f>(9767.46-776.54)*1.2</f>
        <v>10789.103999999998</v>
      </c>
      <c r="J275" s="51">
        <f>776.54*1.2</f>
        <v>931.848</v>
      </c>
      <c r="K275" s="18"/>
      <c r="L275" s="19"/>
      <c r="M275" s="18"/>
      <c r="N275" s="12"/>
    </row>
    <row r="276" spans="1:14" s="6" customFormat="1" ht="12.75">
      <c r="A276" s="50">
        <v>227</v>
      </c>
      <c r="B276" s="50" t="s">
        <v>263</v>
      </c>
      <c r="C276" s="51" t="s">
        <v>264</v>
      </c>
      <c r="D276" s="51" t="s">
        <v>134</v>
      </c>
      <c r="E276" s="52">
        <v>391.9</v>
      </c>
      <c r="F276" s="51">
        <f>(7.87-7.87)*1.2</f>
        <v>0</v>
      </c>
      <c r="G276" s="51">
        <f>7.87*1.2</f>
        <v>9.443999999999999</v>
      </c>
      <c r="H276" s="51">
        <f>3084.25*1.2</f>
        <v>3701.1</v>
      </c>
      <c r="I276" s="51">
        <f>(3084.25-3084.25)*1.2</f>
        <v>0</v>
      </c>
      <c r="J276" s="51">
        <f>3084.25*1.2</f>
        <v>3701.1</v>
      </c>
      <c r="K276" s="18"/>
      <c r="L276" s="19"/>
      <c r="M276" s="18"/>
      <c r="N276" s="12"/>
    </row>
    <row r="277" spans="1:14" s="6" customFormat="1" ht="12.75">
      <c r="A277" s="50">
        <v>228</v>
      </c>
      <c r="B277" s="50" t="s">
        <v>265</v>
      </c>
      <c r="C277" s="51" t="s">
        <v>266</v>
      </c>
      <c r="D277" s="51" t="s">
        <v>267</v>
      </c>
      <c r="E277" s="52">
        <v>0.3104</v>
      </c>
      <c r="F277" s="51">
        <f>(618.01-618)*1.2</f>
        <v>0.011999999999989085</v>
      </c>
      <c r="G277" s="51">
        <f>618*1.2</f>
        <v>741.6</v>
      </c>
      <c r="H277" s="51">
        <f>191.83*1.2</f>
        <v>230.196</v>
      </c>
      <c r="I277" s="51">
        <f>(191.83-191.83)*1.2</f>
        <v>0</v>
      </c>
      <c r="J277" s="51">
        <f>191.83*1.2</f>
        <v>230.196</v>
      </c>
      <c r="K277" s="18"/>
      <c r="L277" s="19"/>
      <c r="M277" s="18"/>
      <c r="N277" s="12"/>
    </row>
    <row r="278" spans="1:14" s="6" customFormat="1" ht="12.75">
      <c r="A278" s="50">
        <v>229</v>
      </c>
      <c r="B278" s="50" t="s">
        <v>268</v>
      </c>
      <c r="C278" s="51" t="s">
        <v>269</v>
      </c>
      <c r="D278" s="51" t="s">
        <v>267</v>
      </c>
      <c r="E278" s="52">
        <v>0.3104</v>
      </c>
      <c r="F278" s="51">
        <f>(618.01-618)*1.2</f>
        <v>0.011999999999989085</v>
      </c>
      <c r="G278" s="51">
        <f>618*1.2</f>
        <v>741.6</v>
      </c>
      <c r="H278" s="51">
        <f>191.83*1.2</f>
        <v>230.196</v>
      </c>
      <c r="I278" s="51">
        <f>(191.83-191.83)*1.2</f>
        <v>0</v>
      </c>
      <c r="J278" s="51">
        <f>191.83*1.2</f>
        <v>230.196</v>
      </c>
      <c r="K278" s="18"/>
      <c r="L278" s="19"/>
      <c r="M278" s="18"/>
      <c r="N278" s="12"/>
    </row>
    <row r="279" spans="1:14" s="6" customFormat="1" ht="12.75">
      <c r="A279" s="50">
        <v>230</v>
      </c>
      <c r="B279" s="50" t="s">
        <v>270</v>
      </c>
      <c r="C279" s="51" t="s">
        <v>271</v>
      </c>
      <c r="D279" s="51" t="s">
        <v>267</v>
      </c>
      <c r="E279" s="52">
        <v>1.552</v>
      </c>
      <c r="F279" s="51">
        <f>(879-879)*1.2</f>
        <v>0</v>
      </c>
      <c r="G279" s="51">
        <f>879*1.2</f>
        <v>1054.8</v>
      </c>
      <c r="H279" s="51">
        <f>1364.21*1.2</f>
        <v>1637.052</v>
      </c>
      <c r="I279" s="51">
        <f>(1364.21-1364.21)*1.2</f>
        <v>0</v>
      </c>
      <c r="J279" s="51">
        <f>1364.21*1.2</f>
        <v>1637.052</v>
      </c>
      <c r="K279" s="18"/>
      <c r="L279" s="19"/>
      <c r="M279" s="18"/>
      <c r="N279" s="12"/>
    </row>
    <row r="280" spans="1:14" s="6" customFormat="1" ht="12.75">
      <c r="A280" s="50">
        <v>231</v>
      </c>
      <c r="B280" s="50" t="s">
        <v>272</v>
      </c>
      <c r="C280" s="51" t="s">
        <v>273</v>
      </c>
      <c r="D280" s="51" t="s">
        <v>267</v>
      </c>
      <c r="E280" s="52">
        <v>0.2716</v>
      </c>
      <c r="F280" s="51">
        <f>(793-793)*1.2</f>
        <v>0</v>
      </c>
      <c r="G280" s="51">
        <f>793*1.2</f>
        <v>951.5999999999999</v>
      </c>
      <c r="H280" s="51">
        <f>215.38*1.2</f>
        <v>258.45599999999996</v>
      </c>
      <c r="I280" s="51">
        <f>(215.38-215.38)*1.2</f>
        <v>0</v>
      </c>
      <c r="J280" s="51">
        <f>215.38*1.2</f>
        <v>258.45599999999996</v>
      </c>
      <c r="K280" s="18"/>
      <c r="L280" s="19"/>
      <c r="M280" s="18"/>
      <c r="N280" s="12"/>
    </row>
    <row r="281" spans="1:14" s="6" customFormat="1" ht="12.75">
      <c r="A281" s="50">
        <v>232</v>
      </c>
      <c r="B281" s="50" t="s">
        <v>274</v>
      </c>
      <c r="C281" s="51" t="s">
        <v>275</v>
      </c>
      <c r="D281" s="51" t="s">
        <v>267</v>
      </c>
      <c r="E281" s="52">
        <v>0.2716</v>
      </c>
      <c r="F281" s="51">
        <f>(793-793)*1.2</f>
        <v>0</v>
      </c>
      <c r="G281" s="51">
        <f>793*1.2</f>
        <v>951.5999999999999</v>
      </c>
      <c r="H281" s="51">
        <f>215.38*1.2</f>
        <v>258.45599999999996</v>
      </c>
      <c r="I281" s="51">
        <f>(215.38-215.38)*1.2</f>
        <v>0</v>
      </c>
      <c r="J281" s="51">
        <f>215.38*1.2</f>
        <v>258.45599999999996</v>
      </c>
      <c r="K281" s="18"/>
      <c r="L281" s="19"/>
      <c r="M281" s="18"/>
      <c r="N281" s="12"/>
    </row>
    <row r="282" spans="1:14" s="6" customFormat="1" ht="18" customHeight="1">
      <c r="A282" s="77" t="s">
        <v>336</v>
      </c>
      <c r="B282" s="78"/>
      <c r="C282" s="78"/>
      <c r="D282" s="78"/>
      <c r="E282" s="78"/>
      <c r="F282" s="78"/>
      <c r="G282" s="78"/>
      <c r="H282" s="78"/>
      <c r="I282" s="78"/>
      <c r="J282" s="78"/>
      <c r="K282" s="18"/>
      <c r="L282" s="19"/>
      <c r="M282" s="18"/>
      <c r="N282" s="12"/>
    </row>
    <row r="283" spans="1:14" s="6" customFormat="1" ht="140.25">
      <c r="A283" s="50">
        <v>233</v>
      </c>
      <c r="B283" s="50" t="s">
        <v>236</v>
      </c>
      <c r="C283" s="51" t="s">
        <v>337</v>
      </c>
      <c r="D283" s="51" t="s">
        <v>31</v>
      </c>
      <c r="E283" s="52">
        <v>0.6086</v>
      </c>
      <c r="F283" s="51">
        <f>(12403.98-65.7)*1.2</f>
        <v>14805.935999999998</v>
      </c>
      <c r="G283" s="51">
        <f>65.7*1.2</f>
        <v>78.84</v>
      </c>
      <c r="H283" s="51">
        <f>7549.06*1.2</f>
        <v>9058.872</v>
      </c>
      <c r="I283" s="51">
        <f>(7549.06-39.98)*1.2</f>
        <v>9010.896</v>
      </c>
      <c r="J283" s="51">
        <f>39.98*1.2</f>
        <v>47.97599999999999</v>
      </c>
      <c r="K283" s="18"/>
      <c r="L283" s="19"/>
      <c r="M283" s="18"/>
      <c r="N283" s="12"/>
    </row>
    <row r="284" spans="1:14" s="6" customFormat="1" ht="12.75">
      <c r="A284" s="50">
        <v>234</v>
      </c>
      <c r="B284" s="50" t="s">
        <v>238</v>
      </c>
      <c r="C284" s="51" t="s">
        <v>239</v>
      </c>
      <c r="D284" s="51" t="s">
        <v>81</v>
      </c>
      <c r="E284" s="52">
        <v>1.242</v>
      </c>
      <c r="F284" s="51">
        <f>(3051.4-3051.4)*1.2</f>
        <v>0</v>
      </c>
      <c r="G284" s="51">
        <f>3051.4*1.2</f>
        <v>3661.68</v>
      </c>
      <c r="H284" s="51">
        <f>3789.84*1.2</f>
        <v>4547.808</v>
      </c>
      <c r="I284" s="51">
        <f>(3789.84-3789.84)*1.2</f>
        <v>0</v>
      </c>
      <c r="J284" s="51">
        <f>3789.84*1.2</f>
        <v>4547.808</v>
      </c>
      <c r="K284" s="18"/>
      <c r="L284" s="19"/>
      <c r="M284" s="18"/>
      <c r="N284" s="12"/>
    </row>
    <row r="285" spans="1:14" s="6" customFormat="1" ht="178.5">
      <c r="A285" s="50">
        <v>235</v>
      </c>
      <c r="B285" s="50" t="s">
        <v>293</v>
      </c>
      <c r="C285" s="51" t="s">
        <v>338</v>
      </c>
      <c r="D285" s="51" t="s">
        <v>31</v>
      </c>
      <c r="E285" s="52">
        <v>0.6086</v>
      </c>
      <c r="F285" s="51">
        <f>(27138.14-14362.18)*1.2</f>
        <v>15331.151999999998</v>
      </c>
      <c r="G285" s="51">
        <f>14362.18*1.2</f>
        <v>17234.615999999998</v>
      </c>
      <c r="H285" s="51">
        <f>16516.27*1.2</f>
        <v>19819.524</v>
      </c>
      <c r="I285" s="51">
        <f>(16516.27-8740.82)*1.2</f>
        <v>9330.54</v>
      </c>
      <c r="J285" s="51">
        <f>8740.82*1.2</f>
        <v>10488.983999999999</v>
      </c>
      <c r="K285" s="18"/>
      <c r="L285" s="19"/>
      <c r="M285" s="18"/>
      <c r="N285" s="12"/>
    </row>
    <row r="286" spans="1:14" s="6" customFormat="1" ht="12.75">
      <c r="A286" s="50">
        <v>236</v>
      </c>
      <c r="B286" s="50" t="s">
        <v>295</v>
      </c>
      <c r="C286" s="51" t="s">
        <v>296</v>
      </c>
      <c r="D286" s="51" t="s">
        <v>60</v>
      </c>
      <c r="E286" s="52">
        <v>70.6</v>
      </c>
      <c r="F286" s="51">
        <f>(50.22-50.22)*1.2</f>
        <v>0</v>
      </c>
      <c r="G286" s="51">
        <f>50.22*1.2</f>
        <v>60.263999999999996</v>
      </c>
      <c r="H286" s="51">
        <f>3545.53*1.2</f>
        <v>4254.636</v>
      </c>
      <c r="I286" s="51">
        <f>(3545.53-3545.53)*1.2</f>
        <v>0</v>
      </c>
      <c r="J286" s="51">
        <f>3545.53*1.2</f>
        <v>4254.636</v>
      </c>
      <c r="K286" s="18"/>
      <c r="L286" s="19"/>
      <c r="M286" s="18"/>
      <c r="N286" s="12"/>
    </row>
    <row r="287" spans="1:14" s="6" customFormat="1" ht="140.25">
      <c r="A287" s="50">
        <v>237</v>
      </c>
      <c r="B287" s="50" t="s">
        <v>236</v>
      </c>
      <c r="C287" s="51" t="s">
        <v>337</v>
      </c>
      <c r="D287" s="51" t="s">
        <v>31</v>
      </c>
      <c r="E287" s="52">
        <v>0.6086</v>
      </c>
      <c r="F287" s="51">
        <f>(12403.98-65.7)*1.2</f>
        <v>14805.935999999998</v>
      </c>
      <c r="G287" s="51">
        <f>65.7*1.2</f>
        <v>78.84</v>
      </c>
      <c r="H287" s="51">
        <f>7549.06*1.2</f>
        <v>9058.872</v>
      </c>
      <c r="I287" s="51">
        <f>(7549.06-39.98)*1.2</f>
        <v>9010.896</v>
      </c>
      <c r="J287" s="51">
        <f>39.98*1.2</f>
        <v>47.97599999999999</v>
      </c>
      <c r="K287" s="18"/>
      <c r="L287" s="19"/>
      <c r="M287" s="18"/>
      <c r="N287" s="12"/>
    </row>
    <row r="288" spans="1:14" s="6" customFormat="1" ht="12.75">
      <c r="A288" s="50">
        <v>238</v>
      </c>
      <c r="B288" s="50" t="s">
        <v>238</v>
      </c>
      <c r="C288" s="51" t="s">
        <v>239</v>
      </c>
      <c r="D288" s="51" t="s">
        <v>81</v>
      </c>
      <c r="E288" s="52">
        <v>1.242</v>
      </c>
      <c r="F288" s="51">
        <f>(3051.4-3051.4)*1.2</f>
        <v>0</v>
      </c>
      <c r="G288" s="51">
        <f>3051.4*1.2</f>
        <v>3661.68</v>
      </c>
      <c r="H288" s="51">
        <f>3789.84*1.2</f>
        <v>4547.808</v>
      </c>
      <c r="I288" s="51">
        <f>(3789.84-3789.84)*1.2</f>
        <v>0</v>
      </c>
      <c r="J288" s="51">
        <f>3789.84*1.2</f>
        <v>4547.808</v>
      </c>
      <c r="K288" s="18"/>
      <c r="L288" s="19"/>
      <c r="M288" s="18"/>
      <c r="N288" s="12"/>
    </row>
    <row r="289" spans="1:14" s="6" customFormat="1" ht="140.25">
      <c r="A289" s="50">
        <v>239</v>
      </c>
      <c r="B289" s="50" t="s">
        <v>281</v>
      </c>
      <c r="C289" s="51" t="s">
        <v>339</v>
      </c>
      <c r="D289" s="51" t="s">
        <v>31</v>
      </c>
      <c r="E289" s="52">
        <v>0.6086</v>
      </c>
      <c r="F289" s="51">
        <f>(1008.03-0)*1.2</f>
        <v>1209.636</v>
      </c>
      <c r="G289" s="51">
        <f>0*1.2</f>
        <v>0</v>
      </c>
      <c r="H289" s="51">
        <f>613.49*1.2</f>
        <v>736.188</v>
      </c>
      <c r="I289" s="51">
        <f>(613.49-0)*1.2</f>
        <v>736.188</v>
      </c>
      <c r="J289" s="51">
        <f>0*1.2</f>
        <v>0</v>
      </c>
      <c r="K289" s="18"/>
      <c r="L289" s="19"/>
      <c r="M289" s="18"/>
      <c r="N289" s="12"/>
    </row>
    <row r="290" spans="1:14" s="6" customFormat="1" ht="12.75">
      <c r="A290" s="50">
        <v>240</v>
      </c>
      <c r="B290" s="50" t="s">
        <v>238</v>
      </c>
      <c r="C290" s="51" t="s">
        <v>239</v>
      </c>
      <c r="D290" s="51" t="s">
        <v>81</v>
      </c>
      <c r="E290" s="52">
        <v>1.242</v>
      </c>
      <c r="F290" s="51">
        <f>(3051.4-3051.4)*1.2</f>
        <v>0</v>
      </c>
      <c r="G290" s="51">
        <f>3051.4*1.2</f>
        <v>3661.68</v>
      </c>
      <c r="H290" s="51">
        <f>3789.84*1.2</f>
        <v>4547.808</v>
      </c>
      <c r="I290" s="51">
        <f>(3789.84-3789.84)*1.2</f>
        <v>0</v>
      </c>
      <c r="J290" s="51">
        <f>3789.84*1.2</f>
        <v>4547.808</v>
      </c>
      <c r="K290" s="18"/>
      <c r="L290" s="19"/>
      <c r="M290" s="18"/>
      <c r="N290" s="12"/>
    </row>
    <row r="291" spans="1:14" s="6" customFormat="1" ht="191.25">
      <c r="A291" s="50">
        <v>241</v>
      </c>
      <c r="B291" s="50" t="s">
        <v>298</v>
      </c>
      <c r="C291" s="51" t="s">
        <v>340</v>
      </c>
      <c r="D291" s="51" t="s">
        <v>31</v>
      </c>
      <c r="E291" s="52">
        <v>0.6086</v>
      </c>
      <c r="F291" s="51">
        <f>(75440.24-34259.24)*1.2</f>
        <v>49417.200000000004</v>
      </c>
      <c r="G291" s="51">
        <f>34259.24*1.2</f>
        <v>41111.087999999996</v>
      </c>
      <c r="H291" s="51">
        <f>45912.93*1.2</f>
        <v>55095.515999999996</v>
      </c>
      <c r="I291" s="51">
        <f>(45912.93-20850.17)*1.2</f>
        <v>30075.312</v>
      </c>
      <c r="J291" s="51">
        <f>20850.17*1.2</f>
        <v>25020.203999999998</v>
      </c>
      <c r="K291" s="18"/>
      <c r="L291" s="19"/>
      <c r="M291" s="18"/>
      <c r="N291" s="12"/>
    </row>
    <row r="292" spans="1:14" s="6" customFormat="1" ht="12.75">
      <c r="A292" s="50">
        <v>242</v>
      </c>
      <c r="B292" s="50" t="s">
        <v>300</v>
      </c>
      <c r="C292" s="51" t="s">
        <v>301</v>
      </c>
      <c r="D292" s="51" t="s">
        <v>41</v>
      </c>
      <c r="E292" s="52">
        <v>273.9</v>
      </c>
      <c r="F292" s="51">
        <f>(7.71-7.71)*1.2</f>
        <v>0</v>
      </c>
      <c r="G292" s="51">
        <f>7.71*1.2</f>
        <v>9.251999999999999</v>
      </c>
      <c r="H292" s="51">
        <f>2111.77*1.2</f>
        <v>2534.124</v>
      </c>
      <c r="I292" s="51">
        <f>(2111.77-2111.77)*1.2</f>
        <v>0</v>
      </c>
      <c r="J292" s="51">
        <f>2111.77*1.2</f>
        <v>2534.124</v>
      </c>
      <c r="K292" s="18"/>
      <c r="L292" s="19"/>
      <c r="M292" s="18"/>
      <c r="N292" s="12"/>
    </row>
    <row r="293" spans="1:14" s="6" customFormat="1" ht="18" customHeight="1">
      <c r="A293" s="77" t="s">
        <v>341</v>
      </c>
      <c r="B293" s="78"/>
      <c r="C293" s="78"/>
      <c r="D293" s="78"/>
      <c r="E293" s="78"/>
      <c r="F293" s="78"/>
      <c r="G293" s="78"/>
      <c r="H293" s="78"/>
      <c r="I293" s="78"/>
      <c r="J293" s="78"/>
      <c r="K293" s="18"/>
      <c r="L293" s="19"/>
      <c r="M293" s="18"/>
      <c r="N293" s="12"/>
    </row>
    <row r="294" spans="1:14" s="6" customFormat="1" ht="140.25">
      <c r="A294" s="50">
        <v>243</v>
      </c>
      <c r="B294" s="50" t="s">
        <v>236</v>
      </c>
      <c r="C294" s="51" t="s">
        <v>342</v>
      </c>
      <c r="D294" s="51" t="s">
        <v>31</v>
      </c>
      <c r="E294" s="52">
        <v>1.8784</v>
      </c>
      <c r="F294" s="51">
        <f>(12403.97-65.7)*1.2</f>
        <v>14805.923999999997</v>
      </c>
      <c r="G294" s="51">
        <f>65.7*1.2</f>
        <v>78.84</v>
      </c>
      <c r="H294" s="51">
        <f>23299.61*1.2</f>
        <v>27959.532</v>
      </c>
      <c r="I294" s="51">
        <f>(23299.61-123.41)*1.2</f>
        <v>27811.44</v>
      </c>
      <c r="J294" s="51">
        <f>123.41*1.2</f>
        <v>148.09199999999998</v>
      </c>
      <c r="K294" s="18"/>
      <c r="L294" s="19"/>
      <c r="M294" s="18"/>
      <c r="N294" s="12"/>
    </row>
    <row r="295" spans="1:14" s="6" customFormat="1" ht="12.75">
      <c r="A295" s="50">
        <v>244</v>
      </c>
      <c r="B295" s="50" t="s">
        <v>238</v>
      </c>
      <c r="C295" s="51" t="s">
        <v>239</v>
      </c>
      <c r="D295" s="51" t="s">
        <v>81</v>
      </c>
      <c r="E295" s="52">
        <v>3.832</v>
      </c>
      <c r="F295" s="51">
        <f>(3051.4-3051.4)*1.2</f>
        <v>0</v>
      </c>
      <c r="G295" s="51">
        <f>3051.4*1.2</f>
        <v>3661.68</v>
      </c>
      <c r="H295" s="51">
        <f>11692.96*1.2</f>
        <v>14031.551999999998</v>
      </c>
      <c r="I295" s="51">
        <f>(11692.96-11692.96)*1.2</f>
        <v>0</v>
      </c>
      <c r="J295" s="51">
        <f>11692.96*1.2</f>
        <v>14031.551999999998</v>
      </c>
      <c r="K295" s="18"/>
      <c r="L295" s="19"/>
      <c r="M295" s="18"/>
      <c r="N295" s="12"/>
    </row>
    <row r="296" spans="1:14" s="6" customFormat="1" ht="140.25">
      <c r="A296" s="50">
        <v>245</v>
      </c>
      <c r="B296" s="50" t="s">
        <v>281</v>
      </c>
      <c r="C296" s="51" t="s">
        <v>343</v>
      </c>
      <c r="D296" s="51" t="s">
        <v>31</v>
      </c>
      <c r="E296" s="52">
        <v>1.8784</v>
      </c>
      <c r="F296" s="51">
        <f>(1915.25-0)*1.2</f>
        <v>2298.2999999999997</v>
      </c>
      <c r="G296" s="51">
        <f>0*1.2</f>
        <v>0</v>
      </c>
      <c r="H296" s="51">
        <f>3597.61*1.2</f>
        <v>4317.132</v>
      </c>
      <c r="I296" s="51">
        <f>(3597.61-0)*1.2</f>
        <v>4317.132</v>
      </c>
      <c r="J296" s="51">
        <f>0*1.2</f>
        <v>0</v>
      </c>
      <c r="K296" s="18"/>
      <c r="L296" s="19"/>
      <c r="M296" s="18"/>
      <c r="N296" s="12"/>
    </row>
    <row r="297" spans="1:14" s="6" customFormat="1" ht="12.75">
      <c r="A297" s="50">
        <v>246</v>
      </c>
      <c r="B297" s="50" t="s">
        <v>238</v>
      </c>
      <c r="C297" s="51" t="s">
        <v>239</v>
      </c>
      <c r="D297" s="51" t="s">
        <v>81</v>
      </c>
      <c r="E297" s="52">
        <v>7.281</v>
      </c>
      <c r="F297" s="51">
        <f>(3051.4-3051.4)*1.2</f>
        <v>0</v>
      </c>
      <c r="G297" s="51">
        <f>3051.4*1.2</f>
        <v>3661.68</v>
      </c>
      <c r="H297" s="51">
        <f>22217.24*1.2</f>
        <v>26660.688000000002</v>
      </c>
      <c r="I297" s="51">
        <f>(22217.24-22217.24)*1.2</f>
        <v>0</v>
      </c>
      <c r="J297" s="51">
        <f>22217.24*1.2</f>
        <v>26660.688000000002</v>
      </c>
      <c r="K297" s="18"/>
      <c r="L297" s="19"/>
      <c r="M297" s="18"/>
      <c r="N297" s="12"/>
    </row>
    <row r="298" spans="1:14" s="6" customFormat="1" ht="191.25">
      <c r="A298" s="50">
        <v>247</v>
      </c>
      <c r="B298" s="50" t="s">
        <v>77</v>
      </c>
      <c r="C298" s="51" t="s">
        <v>344</v>
      </c>
      <c r="D298" s="51" t="s">
        <v>31</v>
      </c>
      <c r="E298" s="52">
        <v>1.8784</v>
      </c>
      <c r="F298" s="51">
        <f>(152482.99-50378.79)*1.2</f>
        <v>122525.03999999998</v>
      </c>
      <c r="G298" s="51">
        <f>50378.79*1.2</f>
        <v>60454.547999999995</v>
      </c>
      <c r="H298" s="51">
        <f>286424.04*1.2</f>
        <v>343708.84799999994</v>
      </c>
      <c r="I298" s="51">
        <f>(286424.04-94631.52)*1.2</f>
        <v>230151.02399999995</v>
      </c>
      <c r="J298" s="51">
        <f>94631.52*1.2</f>
        <v>113557.82400000001</v>
      </c>
      <c r="K298" s="18"/>
      <c r="L298" s="19"/>
      <c r="M298" s="18"/>
      <c r="N298" s="12"/>
    </row>
    <row r="299" spans="1:14" s="6" customFormat="1" ht="12.75">
      <c r="A299" s="50">
        <v>248</v>
      </c>
      <c r="B299" s="50" t="s">
        <v>79</v>
      </c>
      <c r="C299" s="51" t="s">
        <v>80</v>
      </c>
      <c r="D299" s="51" t="s">
        <v>81</v>
      </c>
      <c r="E299" s="52">
        <v>0.0188</v>
      </c>
      <c r="F299" s="51">
        <f>(5240.96-5241.16)*1.2</f>
        <v>-0.23999999999978172</v>
      </c>
      <c r="G299" s="51">
        <f>5241.16*1.2</f>
        <v>6289.392</v>
      </c>
      <c r="H299" s="51">
        <f>98.53*1.2</f>
        <v>118.23599999999999</v>
      </c>
      <c r="I299" s="51">
        <f>(98.53-98.53)*1.2</f>
        <v>0</v>
      </c>
      <c r="J299" s="51">
        <f>98.53*1.2</f>
        <v>118.23599999999999</v>
      </c>
      <c r="K299" s="18"/>
      <c r="L299" s="19"/>
      <c r="M299" s="18"/>
      <c r="N299" s="12"/>
    </row>
    <row r="300" spans="1:14" s="6" customFormat="1" ht="12.75">
      <c r="A300" s="50">
        <v>249</v>
      </c>
      <c r="B300" s="50" t="s">
        <v>320</v>
      </c>
      <c r="C300" s="51" t="s">
        <v>321</v>
      </c>
      <c r="D300" s="51" t="s">
        <v>38</v>
      </c>
      <c r="E300" s="52">
        <v>0.024419</v>
      </c>
      <c r="F300" s="51">
        <f>(42514.03-42513.97)*1.2</f>
        <v>0.07199999999720604</v>
      </c>
      <c r="G300" s="51">
        <f>42513.97*1.2</f>
        <v>51016.764</v>
      </c>
      <c r="H300" s="51">
        <f>1038.15*1.2</f>
        <v>1245.78</v>
      </c>
      <c r="I300" s="51">
        <f>(1038.15-1038.15)*1.2</f>
        <v>0</v>
      </c>
      <c r="J300" s="51">
        <f>1038.15*1.2</f>
        <v>1245.78</v>
      </c>
      <c r="K300" s="18"/>
      <c r="L300" s="19"/>
      <c r="M300" s="18"/>
      <c r="N300" s="12"/>
    </row>
    <row r="301" spans="1:14" s="6" customFormat="1" ht="18" customHeight="1">
      <c r="A301" s="77" t="s">
        <v>345</v>
      </c>
      <c r="B301" s="78"/>
      <c r="C301" s="78"/>
      <c r="D301" s="78"/>
      <c r="E301" s="78"/>
      <c r="F301" s="78"/>
      <c r="G301" s="78"/>
      <c r="H301" s="78"/>
      <c r="I301" s="78"/>
      <c r="J301" s="78"/>
      <c r="K301" s="18"/>
      <c r="L301" s="19"/>
      <c r="M301" s="18"/>
      <c r="N301" s="12"/>
    </row>
    <row r="302" spans="1:14" s="6" customFormat="1" ht="140.25">
      <c r="A302" s="50">
        <v>250</v>
      </c>
      <c r="B302" s="50" t="s">
        <v>236</v>
      </c>
      <c r="C302" s="51" t="s">
        <v>346</v>
      </c>
      <c r="D302" s="51" t="s">
        <v>31</v>
      </c>
      <c r="E302" s="52">
        <v>0.0629</v>
      </c>
      <c r="F302" s="51">
        <f>(12403.82-65.7)*1.2</f>
        <v>14805.743999999999</v>
      </c>
      <c r="G302" s="51">
        <f>65.7*1.2</f>
        <v>78.84</v>
      </c>
      <c r="H302" s="51">
        <f>780.2*1.2</f>
        <v>936.24</v>
      </c>
      <c r="I302" s="51">
        <f>(780.2-4.13)*1.2</f>
        <v>931.284</v>
      </c>
      <c r="J302" s="51">
        <f>4.13*1.2</f>
        <v>4.9559999999999995</v>
      </c>
      <c r="K302" s="18"/>
      <c r="L302" s="19"/>
      <c r="M302" s="18"/>
      <c r="N302" s="12"/>
    </row>
    <row r="303" spans="1:14" s="6" customFormat="1" ht="12.75">
      <c r="A303" s="50">
        <v>251</v>
      </c>
      <c r="B303" s="50" t="s">
        <v>238</v>
      </c>
      <c r="C303" s="51" t="s">
        <v>239</v>
      </c>
      <c r="D303" s="51" t="s">
        <v>81</v>
      </c>
      <c r="E303" s="52">
        <v>0.1283</v>
      </c>
      <c r="F303" s="51">
        <f>(3051.36-3051.4)*1.2</f>
        <v>-0.04799999999995634</v>
      </c>
      <c r="G303" s="51">
        <f>3051.4*1.2</f>
        <v>3661.68</v>
      </c>
      <c r="H303" s="51">
        <f>391.49*1.2</f>
        <v>469.788</v>
      </c>
      <c r="I303" s="51">
        <f>(391.49-391.49)*1.2</f>
        <v>0</v>
      </c>
      <c r="J303" s="51">
        <f>391.49*1.2</f>
        <v>469.788</v>
      </c>
      <c r="K303" s="18"/>
      <c r="L303" s="19"/>
      <c r="M303" s="18"/>
      <c r="N303" s="12"/>
    </row>
    <row r="304" spans="1:14" s="6" customFormat="1" ht="140.25">
      <c r="A304" s="50">
        <v>252</v>
      </c>
      <c r="B304" s="50" t="s">
        <v>281</v>
      </c>
      <c r="C304" s="51" t="s">
        <v>347</v>
      </c>
      <c r="D304" s="51" t="s">
        <v>31</v>
      </c>
      <c r="E304" s="52">
        <v>0.0629</v>
      </c>
      <c r="F304" s="51">
        <f>(2016.22-0)*1.2</f>
        <v>2419.464</v>
      </c>
      <c r="G304" s="51">
        <f>0*1.2</f>
        <v>0</v>
      </c>
      <c r="H304" s="51">
        <f>126.82*1.2</f>
        <v>152.184</v>
      </c>
      <c r="I304" s="51">
        <f>(126.82-0)*1.2</f>
        <v>152.184</v>
      </c>
      <c r="J304" s="51">
        <f>0*1.2</f>
        <v>0</v>
      </c>
      <c r="K304" s="18"/>
      <c r="L304" s="19"/>
      <c r="M304" s="18"/>
      <c r="N304" s="12"/>
    </row>
    <row r="305" spans="1:14" s="6" customFormat="1" ht="12.75">
      <c r="A305" s="50">
        <v>253</v>
      </c>
      <c r="B305" s="50" t="s">
        <v>238</v>
      </c>
      <c r="C305" s="51" t="s">
        <v>239</v>
      </c>
      <c r="D305" s="51" t="s">
        <v>81</v>
      </c>
      <c r="E305" s="52">
        <v>0.2566</v>
      </c>
      <c r="F305" s="51">
        <f>(3051.4-3051.4)*1.2</f>
        <v>0</v>
      </c>
      <c r="G305" s="51">
        <f>3051.4*1.2</f>
        <v>3661.68</v>
      </c>
      <c r="H305" s="51">
        <f>782.99*1.2</f>
        <v>939.588</v>
      </c>
      <c r="I305" s="51">
        <f>(782.99-782.99)*1.2</f>
        <v>0</v>
      </c>
      <c r="J305" s="51">
        <f>782.99*1.2</f>
        <v>939.588</v>
      </c>
      <c r="K305" s="18"/>
      <c r="L305" s="19"/>
      <c r="M305" s="18"/>
      <c r="N305" s="12"/>
    </row>
    <row r="306" spans="1:14" s="6" customFormat="1" ht="191.25">
      <c r="A306" s="50">
        <v>254</v>
      </c>
      <c r="B306" s="50" t="s">
        <v>298</v>
      </c>
      <c r="C306" s="51" t="s">
        <v>348</v>
      </c>
      <c r="D306" s="51" t="s">
        <v>31</v>
      </c>
      <c r="E306" s="52">
        <v>0.0629</v>
      </c>
      <c r="F306" s="51">
        <f>(75440.22-34259.24)*1.2</f>
        <v>49417.176</v>
      </c>
      <c r="G306" s="51">
        <f>34259.24*1.2</f>
        <v>41111.087999999996</v>
      </c>
      <c r="H306" s="51">
        <f>4745.19*1.2</f>
        <v>5694.227999999999</v>
      </c>
      <c r="I306" s="51">
        <f>(4745.19-2154.9)*1.2</f>
        <v>3108.3479999999995</v>
      </c>
      <c r="J306" s="51">
        <f>2154.9*1.2</f>
        <v>2585.88</v>
      </c>
      <c r="K306" s="18"/>
      <c r="L306" s="19"/>
      <c r="M306" s="18"/>
      <c r="N306" s="12"/>
    </row>
    <row r="307" spans="1:14" s="6" customFormat="1" ht="12.75">
      <c r="A307" s="50">
        <v>255</v>
      </c>
      <c r="B307" s="50" t="s">
        <v>300</v>
      </c>
      <c r="C307" s="51" t="s">
        <v>301</v>
      </c>
      <c r="D307" s="51" t="s">
        <v>41</v>
      </c>
      <c r="E307" s="52">
        <v>28.31</v>
      </c>
      <c r="F307" s="51">
        <f>(7.71-7.71)*1.2</f>
        <v>0</v>
      </c>
      <c r="G307" s="51">
        <f>7.71*1.2</f>
        <v>9.251999999999999</v>
      </c>
      <c r="H307" s="51">
        <f>218.27*1.2</f>
        <v>261.924</v>
      </c>
      <c r="I307" s="51">
        <f>(218.27-218.27)*1.2</f>
        <v>0</v>
      </c>
      <c r="J307" s="51">
        <f>218.27*1.2</f>
        <v>261.924</v>
      </c>
      <c r="K307" s="18"/>
      <c r="L307" s="19"/>
      <c r="M307" s="18"/>
      <c r="N307" s="12"/>
    </row>
    <row r="308" spans="1:14" s="6" customFormat="1" ht="18" customHeight="1">
      <c r="A308" s="77" t="s">
        <v>349</v>
      </c>
      <c r="B308" s="78"/>
      <c r="C308" s="78"/>
      <c r="D308" s="78"/>
      <c r="E308" s="78"/>
      <c r="F308" s="78"/>
      <c r="G308" s="78"/>
      <c r="H308" s="78"/>
      <c r="I308" s="78"/>
      <c r="J308" s="78"/>
      <c r="K308" s="18"/>
      <c r="L308" s="19"/>
      <c r="M308" s="18"/>
      <c r="N308" s="12"/>
    </row>
    <row r="309" spans="1:14" s="6" customFormat="1" ht="140.25">
      <c r="A309" s="50">
        <v>256</v>
      </c>
      <c r="B309" s="50" t="s">
        <v>236</v>
      </c>
      <c r="C309" s="51" t="s">
        <v>350</v>
      </c>
      <c r="D309" s="51" t="s">
        <v>31</v>
      </c>
      <c r="E309" s="52">
        <v>1.0023</v>
      </c>
      <c r="F309" s="51">
        <f>(12403.97-65.7)*1.2</f>
        <v>14805.923999999997</v>
      </c>
      <c r="G309" s="51">
        <f>65.7*1.2</f>
        <v>78.84</v>
      </c>
      <c r="H309" s="51">
        <f>12432.5*1.2</f>
        <v>14919</v>
      </c>
      <c r="I309" s="51">
        <f>(12432.5-65.86)*1.2</f>
        <v>14839.967999999999</v>
      </c>
      <c r="J309" s="51">
        <f>65.86*1.2</f>
        <v>79.032</v>
      </c>
      <c r="K309" s="18"/>
      <c r="L309" s="19"/>
      <c r="M309" s="18"/>
      <c r="N309" s="12"/>
    </row>
    <row r="310" spans="1:14" s="6" customFormat="1" ht="12.75">
      <c r="A310" s="50">
        <v>257</v>
      </c>
      <c r="B310" s="50" t="s">
        <v>238</v>
      </c>
      <c r="C310" s="51" t="s">
        <v>239</v>
      </c>
      <c r="D310" s="51" t="s">
        <v>81</v>
      </c>
      <c r="E310" s="52">
        <v>2.045</v>
      </c>
      <c r="F310" s="51">
        <f>(3051.4-3051.4)*1.2</f>
        <v>0</v>
      </c>
      <c r="G310" s="51">
        <f>3051.4*1.2</f>
        <v>3661.68</v>
      </c>
      <c r="H310" s="51">
        <f>6240.11*1.2</f>
        <v>7488.132</v>
      </c>
      <c r="I310" s="51">
        <f>(6240.11-6240.11)*1.2</f>
        <v>0</v>
      </c>
      <c r="J310" s="51">
        <f>6240.11*1.2</f>
        <v>7488.132</v>
      </c>
      <c r="K310" s="18"/>
      <c r="L310" s="19"/>
      <c r="M310" s="18"/>
      <c r="N310" s="12"/>
    </row>
    <row r="311" spans="1:14" s="6" customFormat="1" ht="140.25">
      <c r="A311" s="50">
        <v>258</v>
      </c>
      <c r="B311" s="50" t="s">
        <v>329</v>
      </c>
      <c r="C311" s="51" t="s">
        <v>351</v>
      </c>
      <c r="D311" s="51" t="s">
        <v>31</v>
      </c>
      <c r="E311" s="52">
        <v>1.1143</v>
      </c>
      <c r="F311" s="51">
        <f>(2125.35-761.64)*1.2</f>
        <v>1636.452</v>
      </c>
      <c r="G311" s="51">
        <f>761.64*1.2</f>
        <v>913.968</v>
      </c>
      <c r="H311" s="51">
        <f>2368.28*1.2</f>
        <v>2841.936</v>
      </c>
      <c r="I311" s="51">
        <f>(2368.28-848.7)*1.2</f>
        <v>1823.496</v>
      </c>
      <c r="J311" s="51">
        <f>848.7*1.2</f>
        <v>1018.44</v>
      </c>
      <c r="K311" s="18"/>
      <c r="L311" s="19"/>
      <c r="M311" s="18"/>
      <c r="N311" s="12"/>
    </row>
    <row r="312" spans="1:14" s="6" customFormat="1" ht="25.5">
      <c r="A312" s="50">
        <v>259</v>
      </c>
      <c r="B312" s="50" t="s">
        <v>331</v>
      </c>
      <c r="C312" s="51" t="s">
        <v>332</v>
      </c>
      <c r="D312" s="51" t="s">
        <v>60</v>
      </c>
      <c r="E312" s="52">
        <v>114.8</v>
      </c>
      <c r="F312" s="51">
        <f>(42.93-42.93)*1.2</f>
        <v>0</v>
      </c>
      <c r="G312" s="51">
        <f>42.93*1.2</f>
        <v>51.516</v>
      </c>
      <c r="H312" s="51">
        <f>4928.36*1.2</f>
        <v>5914.031999999999</v>
      </c>
      <c r="I312" s="51">
        <f>(4928.36-4928.36)*1.2</f>
        <v>0</v>
      </c>
      <c r="J312" s="51">
        <f>4928.36*1.2</f>
        <v>5914.031999999999</v>
      </c>
      <c r="K312" s="18"/>
      <c r="L312" s="19"/>
      <c r="M312" s="18"/>
      <c r="N312" s="12"/>
    </row>
    <row r="313" spans="1:14" s="6" customFormat="1" ht="140.25">
      <c r="A313" s="50">
        <v>260</v>
      </c>
      <c r="B313" s="50" t="s">
        <v>236</v>
      </c>
      <c r="C313" s="51" t="s">
        <v>350</v>
      </c>
      <c r="D313" s="51" t="s">
        <v>31</v>
      </c>
      <c r="E313" s="52">
        <v>1.0023</v>
      </c>
      <c r="F313" s="51">
        <f>(12403.97-65.7)*1.2</f>
        <v>14805.923999999997</v>
      </c>
      <c r="G313" s="51">
        <f>65.7*1.2</f>
        <v>78.84</v>
      </c>
      <c r="H313" s="51">
        <f>12432.5*1.2</f>
        <v>14919</v>
      </c>
      <c r="I313" s="51">
        <f>(12432.5-65.86)*1.2</f>
        <v>14839.967999999999</v>
      </c>
      <c r="J313" s="51">
        <f>65.86*1.2</f>
        <v>79.032</v>
      </c>
      <c r="K313" s="18"/>
      <c r="L313" s="19"/>
      <c r="M313" s="18"/>
      <c r="N313" s="12"/>
    </row>
    <row r="314" spans="1:14" s="6" customFormat="1" ht="12.75">
      <c r="A314" s="50">
        <v>261</v>
      </c>
      <c r="B314" s="50" t="s">
        <v>238</v>
      </c>
      <c r="C314" s="51" t="s">
        <v>239</v>
      </c>
      <c r="D314" s="51" t="s">
        <v>81</v>
      </c>
      <c r="E314" s="52">
        <v>2.045</v>
      </c>
      <c r="F314" s="51">
        <f>(3051.4-3051.4)*1.2</f>
        <v>0</v>
      </c>
      <c r="G314" s="51">
        <f>3051.4*1.2</f>
        <v>3661.68</v>
      </c>
      <c r="H314" s="51">
        <f>6240.11*1.2</f>
        <v>7488.132</v>
      </c>
      <c r="I314" s="51">
        <f>(6240.11-6240.11)*1.2</f>
        <v>0</v>
      </c>
      <c r="J314" s="51">
        <f>6240.11*1.2</f>
        <v>7488.132</v>
      </c>
      <c r="K314" s="18"/>
      <c r="L314" s="19"/>
      <c r="M314" s="18"/>
      <c r="N314" s="12"/>
    </row>
    <row r="315" spans="1:14" s="6" customFormat="1" ht="140.25">
      <c r="A315" s="50">
        <v>262</v>
      </c>
      <c r="B315" s="50" t="s">
        <v>281</v>
      </c>
      <c r="C315" s="51" t="s">
        <v>352</v>
      </c>
      <c r="D315" s="51" t="s">
        <v>31</v>
      </c>
      <c r="E315" s="52">
        <v>1.0023</v>
      </c>
      <c r="F315" s="51">
        <f>(1008.04-0)*1.2</f>
        <v>1209.648</v>
      </c>
      <c r="G315" s="51">
        <f>0*1.2</f>
        <v>0</v>
      </c>
      <c r="H315" s="51">
        <f>1010.36*1.2</f>
        <v>1212.432</v>
      </c>
      <c r="I315" s="51">
        <f>(1010.36-0)*1.2</f>
        <v>1212.432</v>
      </c>
      <c r="J315" s="51">
        <f>0*1.2</f>
        <v>0</v>
      </c>
      <c r="K315" s="18"/>
      <c r="L315" s="19"/>
      <c r="M315" s="18"/>
      <c r="N315" s="12"/>
    </row>
    <row r="316" spans="1:14" s="6" customFormat="1" ht="12.75">
      <c r="A316" s="50">
        <v>263</v>
      </c>
      <c r="B316" s="50" t="s">
        <v>238</v>
      </c>
      <c r="C316" s="51" t="s">
        <v>239</v>
      </c>
      <c r="D316" s="51" t="s">
        <v>81</v>
      </c>
      <c r="E316" s="52">
        <v>2.045</v>
      </c>
      <c r="F316" s="51">
        <f>(3051.4-3051.4)*1.2</f>
        <v>0</v>
      </c>
      <c r="G316" s="51">
        <f>3051.4*1.2</f>
        <v>3661.68</v>
      </c>
      <c r="H316" s="51">
        <f>6240.11*1.2</f>
        <v>7488.132</v>
      </c>
      <c r="I316" s="51">
        <f>(6240.11-6240.11)*1.2</f>
        <v>0</v>
      </c>
      <c r="J316" s="51">
        <f>6240.11*1.2</f>
        <v>7488.132</v>
      </c>
      <c r="K316" s="18"/>
      <c r="L316" s="19"/>
      <c r="M316" s="18"/>
      <c r="N316" s="12"/>
    </row>
    <row r="317" spans="1:14" s="6" customFormat="1" ht="127.5">
      <c r="A317" s="50">
        <v>264</v>
      </c>
      <c r="B317" s="50" t="s">
        <v>353</v>
      </c>
      <c r="C317" s="51" t="s">
        <v>354</v>
      </c>
      <c r="D317" s="51" t="s">
        <v>31</v>
      </c>
      <c r="E317" s="52">
        <v>1.0023</v>
      </c>
      <c r="F317" s="51">
        <f>(18557.65-3157.71)*1.2</f>
        <v>18479.928000000004</v>
      </c>
      <c r="G317" s="51">
        <f>3157.71*1.2</f>
        <v>3789.252</v>
      </c>
      <c r="H317" s="51">
        <f>18600.33*1.2</f>
        <v>22320.396</v>
      </c>
      <c r="I317" s="51">
        <f>(18600.33-3164.97)*1.2</f>
        <v>18522.432</v>
      </c>
      <c r="J317" s="51">
        <f>3164.97*1.2</f>
        <v>3797.9639999999995</v>
      </c>
      <c r="K317" s="18"/>
      <c r="L317" s="19"/>
      <c r="M317" s="18"/>
      <c r="N317" s="12"/>
    </row>
    <row r="318" spans="1:14" s="6" customFormat="1" ht="12.75">
      <c r="A318" s="50">
        <v>265</v>
      </c>
      <c r="B318" s="50" t="s">
        <v>355</v>
      </c>
      <c r="C318" s="51" t="s">
        <v>356</v>
      </c>
      <c r="D318" s="51" t="s">
        <v>60</v>
      </c>
      <c r="E318" s="52">
        <v>102.2</v>
      </c>
      <c r="F318" s="51">
        <f>(919.33-919.33)*1.2</f>
        <v>0</v>
      </c>
      <c r="G318" s="51">
        <f>919.33*1.2</f>
        <v>1103.196</v>
      </c>
      <c r="H318" s="51">
        <f>93955.53*1.2</f>
        <v>112746.636</v>
      </c>
      <c r="I318" s="51">
        <f>(93955.53-93955.53)*1.2</f>
        <v>0</v>
      </c>
      <c r="J318" s="51">
        <f>93955.53*1.2</f>
        <v>112746.636</v>
      </c>
      <c r="K318" s="18"/>
      <c r="L318" s="19"/>
      <c r="M318" s="18"/>
      <c r="N318" s="12"/>
    </row>
    <row r="319" spans="1:14" s="6" customFormat="1" ht="216.75">
      <c r="A319" s="50">
        <v>266</v>
      </c>
      <c r="B319" s="50" t="s">
        <v>261</v>
      </c>
      <c r="C319" s="51" t="s">
        <v>357</v>
      </c>
      <c r="D319" s="51" t="s">
        <v>131</v>
      </c>
      <c r="E319" s="52">
        <v>1.07</v>
      </c>
      <c r="F319" s="51">
        <f>(2517.39-200.14)*1.2</f>
        <v>2780.7</v>
      </c>
      <c r="G319" s="51">
        <f>200.14*1.2</f>
        <v>240.16799999999998</v>
      </c>
      <c r="H319" s="51">
        <f>2693.61*1.2</f>
        <v>3232.332</v>
      </c>
      <c r="I319" s="51">
        <f>(2693.61-214.15)*1.2</f>
        <v>2975.352</v>
      </c>
      <c r="J319" s="51">
        <f>214.15*1.2</f>
        <v>256.98</v>
      </c>
      <c r="K319" s="18"/>
      <c r="L319" s="19"/>
      <c r="M319" s="18"/>
      <c r="N319" s="12"/>
    </row>
    <row r="320" spans="1:14" s="6" customFormat="1" ht="12.75">
      <c r="A320" s="50">
        <v>267</v>
      </c>
      <c r="B320" s="50" t="s">
        <v>263</v>
      </c>
      <c r="C320" s="51" t="s">
        <v>264</v>
      </c>
      <c r="D320" s="51" t="s">
        <v>134</v>
      </c>
      <c r="E320" s="52">
        <v>108.1</v>
      </c>
      <c r="F320" s="51">
        <f>(7.87-7.87)*1.2</f>
        <v>0</v>
      </c>
      <c r="G320" s="51">
        <f>7.87*1.2</f>
        <v>9.443999999999999</v>
      </c>
      <c r="H320" s="51">
        <f>850.75*1.2</f>
        <v>1020.9</v>
      </c>
      <c r="I320" s="51">
        <f>(850.75-850.75)*1.2</f>
        <v>0</v>
      </c>
      <c r="J320" s="51">
        <f>850.75*1.2</f>
        <v>1020.9</v>
      </c>
      <c r="K320" s="18"/>
      <c r="L320" s="19"/>
      <c r="M320" s="18"/>
      <c r="N320" s="12"/>
    </row>
    <row r="321" spans="1:14" s="6" customFormat="1" ht="12.75">
      <c r="A321" s="50">
        <v>268</v>
      </c>
      <c r="B321" s="50" t="s">
        <v>265</v>
      </c>
      <c r="C321" s="51" t="s">
        <v>266</v>
      </c>
      <c r="D321" s="51" t="s">
        <v>267</v>
      </c>
      <c r="E321" s="52">
        <v>0.0856</v>
      </c>
      <c r="F321" s="51">
        <f>(617.99-618)*1.2</f>
        <v>-0.011999999999989085</v>
      </c>
      <c r="G321" s="51">
        <f>618*1.2</f>
        <v>741.6</v>
      </c>
      <c r="H321" s="51">
        <f>52.9*1.2</f>
        <v>63.48</v>
      </c>
      <c r="I321" s="51">
        <f>(52.9-52.9)*1.2</f>
        <v>0</v>
      </c>
      <c r="J321" s="51">
        <f>52.9*1.2</f>
        <v>63.48</v>
      </c>
      <c r="K321" s="18"/>
      <c r="L321" s="19"/>
      <c r="M321" s="18"/>
      <c r="N321" s="12"/>
    </row>
    <row r="322" spans="1:14" s="6" customFormat="1" ht="12.75">
      <c r="A322" s="50">
        <v>269</v>
      </c>
      <c r="B322" s="50" t="s">
        <v>268</v>
      </c>
      <c r="C322" s="51" t="s">
        <v>269</v>
      </c>
      <c r="D322" s="51" t="s">
        <v>267</v>
      </c>
      <c r="E322" s="52">
        <v>0.0856</v>
      </c>
      <c r="F322" s="51">
        <f>(617.99-618)*1.2</f>
        <v>-0.011999999999989085</v>
      </c>
      <c r="G322" s="51">
        <f>618*1.2</f>
        <v>741.6</v>
      </c>
      <c r="H322" s="51">
        <f>52.9*1.2</f>
        <v>63.48</v>
      </c>
      <c r="I322" s="51">
        <f>(52.9-52.9)*1.2</f>
        <v>0</v>
      </c>
      <c r="J322" s="51">
        <f>52.9*1.2</f>
        <v>63.48</v>
      </c>
      <c r="K322" s="18"/>
      <c r="L322" s="19"/>
      <c r="M322" s="18"/>
      <c r="N322" s="12"/>
    </row>
    <row r="323" spans="1:14" s="6" customFormat="1" ht="12.75">
      <c r="A323" s="50">
        <v>270</v>
      </c>
      <c r="B323" s="50" t="s">
        <v>270</v>
      </c>
      <c r="C323" s="51" t="s">
        <v>271</v>
      </c>
      <c r="D323" s="51" t="s">
        <v>267</v>
      </c>
      <c r="E323" s="52">
        <v>0.428</v>
      </c>
      <c r="F323" s="51">
        <f>(879-879)*1.2</f>
        <v>0</v>
      </c>
      <c r="G323" s="51">
        <f>879*1.2</f>
        <v>1054.8</v>
      </c>
      <c r="H323" s="51">
        <f>376.21*1.2</f>
        <v>451.45199999999994</v>
      </c>
      <c r="I323" s="51">
        <f>(376.21-376.21)*1.2</f>
        <v>0</v>
      </c>
      <c r="J323" s="51">
        <f>376.21*1.2</f>
        <v>451.45199999999994</v>
      </c>
      <c r="K323" s="18"/>
      <c r="L323" s="19"/>
      <c r="M323" s="18"/>
      <c r="N323" s="12"/>
    </row>
    <row r="324" spans="1:14" s="6" customFormat="1" ht="12.75">
      <c r="A324" s="50">
        <v>271</v>
      </c>
      <c r="B324" s="50" t="s">
        <v>272</v>
      </c>
      <c r="C324" s="51" t="s">
        <v>273</v>
      </c>
      <c r="D324" s="51" t="s">
        <v>267</v>
      </c>
      <c r="E324" s="52">
        <v>0.0749</v>
      </c>
      <c r="F324" s="51">
        <f>(793.06-793)*1.2</f>
        <v>0.07199999999993452</v>
      </c>
      <c r="G324" s="51">
        <f>793*1.2</f>
        <v>951.5999999999999</v>
      </c>
      <c r="H324" s="51">
        <f>59.4*1.2</f>
        <v>71.28</v>
      </c>
      <c r="I324" s="51">
        <f>(59.4-59.4)*1.2</f>
        <v>0</v>
      </c>
      <c r="J324" s="51">
        <f>59.4*1.2</f>
        <v>71.28</v>
      </c>
      <c r="K324" s="18"/>
      <c r="L324" s="19"/>
      <c r="M324" s="18"/>
      <c r="N324" s="12"/>
    </row>
    <row r="325" spans="1:14" s="6" customFormat="1" ht="12.75">
      <c r="A325" s="50">
        <v>272</v>
      </c>
      <c r="B325" s="50" t="s">
        <v>274</v>
      </c>
      <c r="C325" s="51" t="s">
        <v>275</v>
      </c>
      <c r="D325" s="51" t="s">
        <v>267</v>
      </c>
      <c r="E325" s="52">
        <v>0.0749</v>
      </c>
      <c r="F325" s="51">
        <f>(793.06-793)*1.2</f>
        <v>0.07199999999993452</v>
      </c>
      <c r="G325" s="51">
        <f>793*1.2</f>
        <v>951.5999999999999</v>
      </c>
      <c r="H325" s="51">
        <f>59.4*1.2</f>
        <v>71.28</v>
      </c>
      <c r="I325" s="51">
        <f>(59.4-59.4)*1.2</f>
        <v>0</v>
      </c>
      <c r="J325" s="51">
        <f>59.4*1.2</f>
        <v>71.28</v>
      </c>
      <c r="K325" s="18"/>
      <c r="L325" s="19"/>
      <c r="M325" s="18"/>
      <c r="N325" s="12"/>
    </row>
    <row r="326" spans="1:14" s="6" customFormat="1" ht="18" customHeight="1">
      <c r="A326" s="77" t="s">
        <v>358</v>
      </c>
      <c r="B326" s="78"/>
      <c r="C326" s="78"/>
      <c r="D326" s="78"/>
      <c r="E326" s="78"/>
      <c r="F326" s="78"/>
      <c r="G326" s="78"/>
      <c r="H326" s="78"/>
      <c r="I326" s="78"/>
      <c r="J326" s="78"/>
      <c r="K326" s="18"/>
      <c r="L326" s="19"/>
      <c r="M326" s="18"/>
      <c r="N326" s="12"/>
    </row>
    <row r="327" spans="1:14" s="6" customFormat="1" ht="140.25">
      <c r="A327" s="50">
        <v>273</v>
      </c>
      <c r="B327" s="50" t="s">
        <v>236</v>
      </c>
      <c r="C327" s="51" t="s">
        <v>359</v>
      </c>
      <c r="D327" s="51" t="s">
        <v>31</v>
      </c>
      <c r="E327" s="52">
        <v>0.318</v>
      </c>
      <c r="F327" s="51">
        <f>(12403.99-65.7)*1.2</f>
        <v>14805.947999999999</v>
      </c>
      <c r="G327" s="51">
        <f>65.7*1.2</f>
        <v>78.84</v>
      </c>
      <c r="H327" s="51">
        <f>3944.47*1.2</f>
        <v>4733.364</v>
      </c>
      <c r="I327" s="51">
        <f>(3944.47-20.89)*1.2</f>
        <v>4708.295999999999</v>
      </c>
      <c r="J327" s="51">
        <f>20.89*1.2</f>
        <v>25.068</v>
      </c>
      <c r="K327" s="18"/>
      <c r="L327" s="19"/>
      <c r="M327" s="18"/>
      <c r="N327" s="12"/>
    </row>
    <row r="328" spans="1:14" s="6" customFormat="1" ht="12.75">
      <c r="A328" s="50">
        <v>274</v>
      </c>
      <c r="B328" s="50" t="s">
        <v>238</v>
      </c>
      <c r="C328" s="51" t="s">
        <v>239</v>
      </c>
      <c r="D328" s="51" t="s">
        <v>81</v>
      </c>
      <c r="E328" s="52">
        <v>0.6487</v>
      </c>
      <c r="F328" s="51">
        <f>(3051.4-3051.4)*1.2</f>
        <v>0</v>
      </c>
      <c r="G328" s="51">
        <f>3051.4*1.2</f>
        <v>3661.68</v>
      </c>
      <c r="H328" s="51">
        <f>1979.44*1.2</f>
        <v>2375.328</v>
      </c>
      <c r="I328" s="51">
        <f>(1979.44-1979.44)*1.2</f>
        <v>0</v>
      </c>
      <c r="J328" s="51">
        <f>1979.44*1.2</f>
        <v>2375.328</v>
      </c>
      <c r="K328" s="18"/>
      <c r="L328" s="19"/>
      <c r="M328" s="18"/>
      <c r="N328" s="12"/>
    </row>
    <row r="329" spans="1:14" s="6" customFormat="1" ht="191.25">
      <c r="A329" s="50">
        <v>275</v>
      </c>
      <c r="B329" s="50" t="s">
        <v>360</v>
      </c>
      <c r="C329" s="51" t="s">
        <v>361</v>
      </c>
      <c r="D329" s="51" t="s">
        <v>31</v>
      </c>
      <c r="E329" s="52">
        <v>0.318</v>
      </c>
      <c r="F329" s="51">
        <f>(147487.86-32363.77)*1.2</f>
        <v>138148.90799999997</v>
      </c>
      <c r="G329" s="51">
        <f>32363.77*1.2</f>
        <v>38836.524</v>
      </c>
      <c r="H329" s="51">
        <f>46901.14*1.2</f>
        <v>56281.367999999995</v>
      </c>
      <c r="I329" s="51">
        <f>(46901.14-10291.68)*1.2</f>
        <v>43931.352</v>
      </c>
      <c r="J329" s="51">
        <f>10291.68*1.2</f>
        <v>12350.016</v>
      </c>
      <c r="K329" s="18"/>
      <c r="L329" s="19"/>
      <c r="M329" s="18"/>
      <c r="N329" s="12"/>
    </row>
    <row r="330" spans="1:14" s="6" customFormat="1" ht="12.75">
      <c r="A330" s="50">
        <v>276</v>
      </c>
      <c r="B330" s="50" t="s">
        <v>75</v>
      </c>
      <c r="C330" s="51" t="s">
        <v>76</v>
      </c>
      <c r="D330" s="51" t="s">
        <v>38</v>
      </c>
      <c r="E330" s="52">
        <v>0.3816</v>
      </c>
      <c r="F330" s="51">
        <f>(27633.57-27633.58)*1.2</f>
        <v>-0.012000000002444722</v>
      </c>
      <c r="G330" s="51">
        <f>27633.58*1.2</f>
        <v>33160.296</v>
      </c>
      <c r="H330" s="51">
        <f>10544.97*1.2</f>
        <v>12653.963999999998</v>
      </c>
      <c r="I330" s="51">
        <f>(10544.97-10544.97)*1.2</f>
        <v>0</v>
      </c>
      <c r="J330" s="51">
        <f>10544.97*1.2</f>
        <v>12653.963999999998</v>
      </c>
      <c r="K330" s="18"/>
      <c r="L330" s="19"/>
      <c r="M330" s="18"/>
      <c r="N330" s="12"/>
    </row>
    <row r="331" spans="1:14" s="6" customFormat="1" ht="12.75">
      <c r="A331" s="50">
        <v>277</v>
      </c>
      <c r="B331" s="50" t="s">
        <v>79</v>
      </c>
      <c r="C331" s="51" t="s">
        <v>80</v>
      </c>
      <c r="D331" s="51" t="s">
        <v>81</v>
      </c>
      <c r="E331" s="52">
        <v>0.0032</v>
      </c>
      <c r="F331" s="51">
        <f>(5240.63-5241.16)*1.2</f>
        <v>-0.6359999999996944</v>
      </c>
      <c r="G331" s="51">
        <f>5241.16*1.2</f>
        <v>6289.392</v>
      </c>
      <c r="H331" s="51">
        <f>16.77*1.2</f>
        <v>20.124</v>
      </c>
      <c r="I331" s="51">
        <f>(16.77-16.77)*1.2</f>
        <v>0</v>
      </c>
      <c r="J331" s="51">
        <f>16.77*1.2</f>
        <v>20.124</v>
      </c>
      <c r="K331" s="18"/>
      <c r="L331" s="19"/>
      <c r="M331" s="18"/>
      <c r="N331" s="12"/>
    </row>
    <row r="332" spans="1:14" s="6" customFormat="1" ht="18" customHeight="1">
      <c r="A332" s="77" t="s">
        <v>362</v>
      </c>
      <c r="B332" s="78"/>
      <c r="C332" s="78"/>
      <c r="D332" s="78"/>
      <c r="E332" s="78"/>
      <c r="F332" s="78"/>
      <c r="G332" s="78"/>
      <c r="H332" s="78"/>
      <c r="I332" s="78"/>
      <c r="J332" s="78"/>
      <c r="K332" s="18"/>
      <c r="L332" s="19"/>
      <c r="M332" s="18"/>
      <c r="N332" s="12"/>
    </row>
    <row r="333" spans="1:14" s="6" customFormat="1" ht="140.25">
      <c r="A333" s="50">
        <v>278</v>
      </c>
      <c r="B333" s="50" t="s">
        <v>236</v>
      </c>
      <c r="C333" s="51" t="s">
        <v>363</v>
      </c>
      <c r="D333" s="51" t="s">
        <v>31</v>
      </c>
      <c r="E333" s="52">
        <v>1.9123</v>
      </c>
      <c r="F333" s="51">
        <f>(12403.97-65.7)*1.2</f>
        <v>14805.923999999997</v>
      </c>
      <c r="G333" s="51">
        <f>65.7*1.2</f>
        <v>78.84</v>
      </c>
      <c r="H333" s="51">
        <f>23720.12*1.2</f>
        <v>28464.143999999997</v>
      </c>
      <c r="I333" s="51">
        <f>(23720.12-125.64)*1.2</f>
        <v>28313.376</v>
      </c>
      <c r="J333" s="51">
        <f>125.64*1.2</f>
        <v>150.768</v>
      </c>
      <c r="K333" s="18"/>
      <c r="L333" s="19"/>
      <c r="M333" s="18"/>
      <c r="N333" s="12"/>
    </row>
    <row r="334" spans="1:14" s="6" customFormat="1" ht="12.75">
      <c r="A334" s="50">
        <v>279</v>
      </c>
      <c r="B334" s="50" t="s">
        <v>238</v>
      </c>
      <c r="C334" s="51" t="s">
        <v>239</v>
      </c>
      <c r="D334" s="51" t="s">
        <v>81</v>
      </c>
      <c r="E334" s="52">
        <v>3.901</v>
      </c>
      <c r="F334" s="51">
        <f>(3051.4-3051.4)*1.2</f>
        <v>0</v>
      </c>
      <c r="G334" s="51">
        <f>3051.4*1.2</f>
        <v>3661.68</v>
      </c>
      <c r="H334" s="51">
        <f>11903.51*1.2</f>
        <v>14284.212</v>
      </c>
      <c r="I334" s="51">
        <f>(11903.51-11903.51)*1.2</f>
        <v>0</v>
      </c>
      <c r="J334" s="51">
        <f>11903.51*1.2</f>
        <v>14284.212</v>
      </c>
      <c r="K334" s="18"/>
      <c r="L334" s="19"/>
      <c r="M334" s="18"/>
      <c r="N334" s="12"/>
    </row>
    <row r="335" spans="1:14" s="6" customFormat="1" ht="191.25">
      <c r="A335" s="50">
        <v>280</v>
      </c>
      <c r="B335" s="50" t="s">
        <v>77</v>
      </c>
      <c r="C335" s="51" t="s">
        <v>364</v>
      </c>
      <c r="D335" s="51" t="s">
        <v>31</v>
      </c>
      <c r="E335" s="52">
        <v>1.9123</v>
      </c>
      <c r="F335" s="51">
        <f>(152482.98-50378.79)*1.2</f>
        <v>122525.02799999999</v>
      </c>
      <c r="G335" s="51">
        <f>50378.79*1.2</f>
        <v>60454.547999999995</v>
      </c>
      <c r="H335" s="51">
        <f>291593.2*1.2</f>
        <v>349911.84</v>
      </c>
      <c r="I335" s="51">
        <f>(291593.2-96339.37)*1.2</f>
        <v>234304.59600000002</v>
      </c>
      <c r="J335" s="51">
        <f>96339.37*1.2</f>
        <v>115607.24399999999</v>
      </c>
      <c r="K335" s="18"/>
      <c r="L335" s="19"/>
      <c r="M335" s="18"/>
      <c r="N335" s="12"/>
    </row>
    <row r="336" spans="1:14" s="6" customFormat="1" ht="12.75">
      <c r="A336" s="50">
        <v>281</v>
      </c>
      <c r="B336" s="50" t="s">
        <v>79</v>
      </c>
      <c r="C336" s="51" t="s">
        <v>80</v>
      </c>
      <c r="D336" s="51" t="s">
        <v>81</v>
      </c>
      <c r="E336" s="52">
        <v>0.0191</v>
      </c>
      <c r="F336" s="51">
        <f>(5241.36-5241.16)*1.2</f>
        <v>0.23999999999978172</v>
      </c>
      <c r="G336" s="51">
        <f>5241.16*1.2</f>
        <v>6289.392</v>
      </c>
      <c r="H336" s="51">
        <f>100.11*1.2</f>
        <v>120.13199999999999</v>
      </c>
      <c r="I336" s="51">
        <f>(100.11-100.11)*1.2</f>
        <v>0</v>
      </c>
      <c r="J336" s="51">
        <f>100.11*1.2</f>
        <v>120.13199999999999</v>
      </c>
      <c r="K336" s="18"/>
      <c r="L336" s="19"/>
      <c r="M336" s="18"/>
      <c r="N336" s="12"/>
    </row>
    <row r="337" spans="1:14" s="6" customFormat="1" ht="12.75">
      <c r="A337" s="53">
        <v>282</v>
      </c>
      <c r="B337" s="53" t="s">
        <v>320</v>
      </c>
      <c r="C337" s="54" t="s">
        <v>321</v>
      </c>
      <c r="D337" s="54" t="s">
        <v>38</v>
      </c>
      <c r="E337" s="55">
        <v>0.02486</v>
      </c>
      <c r="F337" s="54">
        <f>(42514.08-42513.97)*1.2</f>
        <v>0.13200000000069848</v>
      </c>
      <c r="G337" s="54">
        <f>42513.97*1.2</f>
        <v>51016.764</v>
      </c>
      <c r="H337" s="54">
        <f>1056.9*1.2</f>
        <v>1268.28</v>
      </c>
      <c r="I337" s="54">
        <f>(1056.9-1056.9)*1.2</f>
        <v>0</v>
      </c>
      <c r="J337" s="54">
        <f>1056.9*1.2</f>
        <v>1268.28</v>
      </c>
      <c r="K337" s="18"/>
      <c r="L337" s="19"/>
      <c r="M337" s="18"/>
      <c r="N337" s="12"/>
    </row>
    <row r="338" spans="1:14" s="6" customFormat="1" ht="18.75" customHeight="1">
      <c r="A338" s="79" t="s">
        <v>365</v>
      </c>
      <c r="B338" s="80"/>
      <c r="C338" s="80"/>
      <c r="D338" s="80"/>
      <c r="E338" s="80"/>
      <c r="F338" s="80"/>
      <c r="G338" s="80"/>
      <c r="H338" s="80"/>
      <c r="I338" s="80"/>
      <c r="J338" s="80"/>
      <c r="K338" s="18"/>
      <c r="L338" s="19"/>
      <c r="M338" s="18"/>
      <c r="N338" s="12"/>
    </row>
    <row r="339" spans="1:14" s="6" customFormat="1" ht="18" customHeight="1">
      <c r="A339" s="77" t="s">
        <v>235</v>
      </c>
      <c r="B339" s="78"/>
      <c r="C339" s="78"/>
      <c r="D339" s="78"/>
      <c r="E339" s="78"/>
      <c r="F339" s="78"/>
      <c r="G339" s="78"/>
      <c r="H339" s="78"/>
      <c r="I339" s="78"/>
      <c r="J339" s="78"/>
      <c r="K339" s="18"/>
      <c r="L339" s="19"/>
      <c r="M339" s="18"/>
      <c r="N339" s="12"/>
    </row>
    <row r="340" spans="1:14" s="6" customFormat="1" ht="140.25">
      <c r="A340" s="50">
        <v>283</v>
      </c>
      <c r="B340" s="50" t="s">
        <v>236</v>
      </c>
      <c r="C340" s="51" t="s">
        <v>366</v>
      </c>
      <c r="D340" s="51" t="s">
        <v>31</v>
      </c>
      <c r="E340" s="52">
        <v>1.5878</v>
      </c>
      <c r="F340" s="51">
        <f>(12403.96-65.7)*1.2</f>
        <v>14805.911999999997</v>
      </c>
      <c r="G340" s="51">
        <f>65.7*1.2</f>
        <v>78.84</v>
      </c>
      <c r="H340" s="51">
        <f>19695.01*1.2</f>
        <v>23634.012</v>
      </c>
      <c r="I340" s="51">
        <f>(19695.01-104.33)*1.2</f>
        <v>23508.815999999995</v>
      </c>
      <c r="J340" s="51">
        <f>104.33*1.2</f>
        <v>125.196</v>
      </c>
      <c r="K340" s="18"/>
      <c r="L340" s="19"/>
      <c r="M340" s="18"/>
      <c r="N340" s="12"/>
    </row>
    <row r="341" spans="1:14" s="6" customFormat="1" ht="12.75">
      <c r="A341" s="50">
        <v>284</v>
      </c>
      <c r="B341" s="50" t="s">
        <v>238</v>
      </c>
      <c r="C341" s="51" t="s">
        <v>239</v>
      </c>
      <c r="D341" s="51" t="s">
        <v>81</v>
      </c>
      <c r="E341" s="52">
        <v>3.239</v>
      </c>
      <c r="F341" s="51">
        <f>(3051.4-3051.4)*1.2</f>
        <v>0</v>
      </c>
      <c r="G341" s="51">
        <f>3051.4*1.2</f>
        <v>3661.68</v>
      </c>
      <c r="H341" s="51">
        <f>9883.48*1.2</f>
        <v>11860.176</v>
      </c>
      <c r="I341" s="51">
        <f>(9883.48-9883.48)*1.2</f>
        <v>0</v>
      </c>
      <c r="J341" s="51">
        <f>9883.48*1.2</f>
        <v>11860.176</v>
      </c>
      <c r="K341" s="18"/>
      <c r="L341" s="19"/>
      <c r="M341" s="18"/>
      <c r="N341" s="12"/>
    </row>
    <row r="342" spans="1:14" s="6" customFormat="1" ht="178.5">
      <c r="A342" s="50">
        <v>285</v>
      </c>
      <c r="B342" s="50" t="s">
        <v>240</v>
      </c>
      <c r="C342" s="51" t="s">
        <v>367</v>
      </c>
      <c r="D342" s="51" t="s">
        <v>81</v>
      </c>
      <c r="E342" s="52">
        <v>5.5573</v>
      </c>
      <c r="F342" s="51">
        <f>(4017.79-752.57)*1.2</f>
        <v>3918.2639999999997</v>
      </c>
      <c r="G342" s="51">
        <f>752.57*1.2</f>
        <v>903.0840000000001</v>
      </c>
      <c r="H342" s="51">
        <f>22328.05*1.2</f>
        <v>26793.66</v>
      </c>
      <c r="I342" s="51">
        <f>(22328.05-4182.26)*1.2</f>
        <v>21774.948</v>
      </c>
      <c r="J342" s="51">
        <f>4182.26*1.2</f>
        <v>5018.712</v>
      </c>
      <c r="K342" s="18"/>
      <c r="L342" s="19"/>
      <c r="M342" s="18"/>
      <c r="N342" s="12"/>
    </row>
    <row r="343" spans="1:14" s="6" customFormat="1" ht="12.75">
      <c r="A343" s="50">
        <v>286</v>
      </c>
      <c r="B343" s="50" t="s">
        <v>242</v>
      </c>
      <c r="C343" s="51" t="s">
        <v>243</v>
      </c>
      <c r="D343" s="51" t="s">
        <v>81</v>
      </c>
      <c r="E343" s="52">
        <v>5.502</v>
      </c>
      <c r="F343" s="51">
        <f>(2045.96-2045.96)*1.2</f>
        <v>0</v>
      </c>
      <c r="G343" s="51">
        <f>2045.96*1.2</f>
        <v>2455.152</v>
      </c>
      <c r="H343" s="51">
        <f>11256.87*1.2</f>
        <v>13508.244</v>
      </c>
      <c r="I343" s="51">
        <f>(11256.87-11256.87)*1.2</f>
        <v>0</v>
      </c>
      <c r="J343" s="51">
        <f>11256.87*1.2</f>
        <v>13508.244</v>
      </c>
      <c r="K343" s="18"/>
      <c r="L343" s="19"/>
      <c r="M343" s="18"/>
      <c r="N343" s="12"/>
    </row>
    <row r="344" spans="1:14" s="6" customFormat="1" ht="153">
      <c r="A344" s="50">
        <v>287</v>
      </c>
      <c r="B344" s="50" t="s">
        <v>244</v>
      </c>
      <c r="C344" s="51" t="s">
        <v>368</v>
      </c>
      <c r="D344" s="51" t="s">
        <v>131</v>
      </c>
      <c r="E344" s="52">
        <v>1.698</v>
      </c>
      <c r="F344" s="51">
        <f>(773.95-57.85)*1.2</f>
        <v>859.32</v>
      </c>
      <c r="G344" s="51">
        <f>57.85*1.2</f>
        <v>69.42</v>
      </c>
      <c r="H344" s="51">
        <f>1314.17*1.2</f>
        <v>1577.0040000000001</v>
      </c>
      <c r="I344" s="51">
        <f>(1314.17-98.23)*1.2</f>
        <v>1459.128</v>
      </c>
      <c r="J344" s="51">
        <f>98.23*1.2</f>
        <v>117.876</v>
      </c>
      <c r="K344" s="18"/>
      <c r="L344" s="19"/>
      <c r="M344" s="18"/>
      <c r="N344" s="12"/>
    </row>
    <row r="345" spans="1:14" s="6" customFormat="1" ht="12.75">
      <c r="A345" s="50">
        <v>288</v>
      </c>
      <c r="B345" s="50" t="s">
        <v>246</v>
      </c>
      <c r="C345" s="51" t="s">
        <v>369</v>
      </c>
      <c r="D345" s="51" t="s">
        <v>248</v>
      </c>
      <c r="E345" s="52">
        <v>16.98</v>
      </c>
      <c r="F345" s="51">
        <f>(58.7-58.7)*1.2</f>
        <v>0</v>
      </c>
      <c r="G345" s="51">
        <f>58.7*1.2</f>
        <v>70.44</v>
      </c>
      <c r="H345" s="51">
        <f>996.73*1.2</f>
        <v>1196.076</v>
      </c>
      <c r="I345" s="51">
        <f>(996.73-996.73)*1.2</f>
        <v>0</v>
      </c>
      <c r="J345" s="51">
        <f>996.73*1.2</f>
        <v>1196.076</v>
      </c>
      <c r="K345" s="18"/>
      <c r="L345" s="19"/>
      <c r="M345" s="18"/>
      <c r="N345" s="12"/>
    </row>
    <row r="346" spans="1:14" s="6" customFormat="1" ht="153">
      <c r="A346" s="50">
        <v>289</v>
      </c>
      <c r="B346" s="50" t="s">
        <v>249</v>
      </c>
      <c r="C346" s="51" t="s">
        <v>370</v>
      </c>
      <c r="D346" s="51" t="s">
        <v>31</v>
      </c>
      <c r="E346" s="52">
        <v>1.5878</v>
      </c>
      <c r="F346" s="51">
        <f>(3346.06-2228.9)*1.2</f>
        <v>1340.5919999999999</v>
      </c>
      <c r="G346" s="51">
        <f>2228.9*1.2</f>
        <v>2674.68</v>
      </c>
      <c r="H346" s="51">
        <f>5312.87*1.2</f>
        <v>6375.4439999999995</v>
      </c>
      <c r="I346" s="51">
        <f>(5312.87-3539.05)*1.2</f>
        <v>2128.5839999999994</v>
      </c>
      <c r="J346" s="51">
        <f>3539.05*1.2</f>
        <v>4246.86</v>
      </c>
      <c r="K346" s="18"/>
      <c r="L346" s="19"/>
      <c r="M346" s="18"/>
      <c r="N346" s="12"/>
    </row>
    <row r="347" spans="1:14" s="6" customFormat="1" ht="140.25">
      <c r="A347" s="50">
        <v>290</v>
      </c>
      <c r="B347" s="50" t="s">
        <v>251</v>
      </c>
      <c r="C347" s="51" t="s">
        <v>371</v>
      </c>
      <c r="D347" s="51" t="s">
        <v>31</v>
      </c>
      <c r="E347" s="52">
        <v>1.5878</v>
      </c>
      <c r="F347" s="51">
        <f>(13858.57-65.7)*1.2</f>
        <v>16551.444</v>
      </c>
      <c r="G347" s="51">
        <f>65.7*1.2</f>
        <v>78.84</v>
      </c>
      <c r="H347" s="51">
        <f>22004.64*1.2</f>
        <v>26405.568</v>
      </c>
      <c r="I347" s="51">
        <f>(22004.64-104.32)*1.2</f>
        <v>26280.384</v>
      </c>
      <c r="J347" s="51">
        <f>104.32*1.2</f>
        <v>125.18399999999998</v>
      </c>
      <c r="K347" s="18"/>
      <c r="L347" s="19"/>
      <c r="M347" s="18"/>
      <c r="N347" s="12"/>
    </row>
    <row r="348" spans="1:14" s="6" customFormat="1" ht="12.75">
      <c r="A348" s="50">
        <v>291</v>
      </c>
      <c r="B348" s="50" t="s">
        <v>253</v>
      </c>
      <c r="C348" s="51" t="s">
        <v>254</v>
      </c>
      <c r="D348" s="51" t="s">
        <v>81</v>
      </c>
      <c r="E348" s="52">
        <v>4.859</v>
      </c>
      <c r="F348" s="51">
        <f>(3217.53-3217.53)*1.2</f>
        <v>0</v>
      </c>
      <c r="G348" s="51">
        <f>3217.53*1.2</f>
        <v>3861.036</v>
      </c>
      <c r="H348" s="51">
        <f>15633.98*1.2</f>
        <v>18760.775999999998</v>
      </c>
      <c r="I348" s="51">
        <f>(15633.98-15633.98)*1.2</f>
        <v>0</v>
      </c>
      <c r="J348" s="51">
        <f>15633.98*1.2</f>
        <v>18760.775999999998</v>
      </c>
      <c r="K348" s="18"/>
      <c r="L348" s="19"/>
      <c r="M348" s="18"/>
      <c r="N348" s="12"/>
    </row>
    <row r="349" spans="1:14" s="6" customFormat="1" ht="127.5">
      <c r="A349" s="50">
        <v>292</v>
      </c>
      <c r="B349" s="50" t="s">
        <v>255</v>
      </c>
      <c r="C349" s="51" t="s">
        <v>372</v>
      </c>
      <c r="D349" s="51" t="s">
        <v>31</v>
      </c>
      <c r="E349" s="52">
        <v>1.5878</v>
      </c>
      <c r="F349" s="51">
        <f>(2564.42-0)*1.2</f>
        <v>3077.304</v>
      </c>
      <c r="G349" s="51">
        <f>0*1.2</f>
        <v>0</v>
      </c>
      <c r="H349" s="51">
        <f>4071.79*1.2</f>
        <v>4886.148</v>
      </c>
      <c r="I349" s="51">
        <f>(4071.79-0)*1.2</f>
        <v>4886.148</v>
      </c>
      <c r="J349" s="51">
        <f>0*1.2</f>
        <v>0</v>
      </c>
      <c r="K349" s="18"/>
      <c r="L349" s="19"/>
      <c r="M349" s="18"/>
      <c r="N349" s="12"/>
    </row>
    <row r="350" spans="1:14" s="6" customFormat="1" ht="12.75">
      <c r="A350" s="50">
        <v>293</v>
      </c>
      <c r="B350" s="50" t="s">
        <v>253</v>
      </c>
      <c r="C350" s="51" t="s">
        <v>254</v>
      </c>
      <c r="D350" s="51" t="s">
        <v>81</v>
      </c>
      <c r="E350" s="52">
        <v>4.697</v>
      </c>
      <c r="F350" s="51">
        <f>(3217.53-3217.53)*1.2</f>
        <v>0</v>
      </c>
      <c r="G350" s="51">
        <f>3217.53*1.2</f>
        <v>3861.036</v>
      </c>
      <c r="H350" s="51">
        <f>15112.74*1.2</f>
        <v>18135.288</v>
      </c>
      <c r="I350" s="51">
        <f>(15112.74-15112.74)*1.2</f>
        <v>0</v>
      </c>
      <c r="J350" s="51">
        <f>15112.74*1.2</f>
        <v>18135.288</v>
      </c>
      <c r="K350" s="18"/>
      <c r="L350" s="19"/>
      <c r="M350" s="18"/>
      <c r="N350" s="12"/>
    </row>
    <row r="351" spans="1:14" s="6" customFormat="1" ht="216.75">
      <c r="A351" s="50">
        <v>294</v>
      </c>
      <c r="B351" s="50" t="s">
        <v>257</v>
      </c>
      <c r="C351" s="51" t="s">
        <v>373</v>
      </c>
      <c r="D351" s="51" t="s">
        <v>31</v>
      </c>
      <c r="E351" s="52">
        <v>1.5878</v>
      </c>
      <c r="F351" s="51">
        <f>(20553.4-6057.66)*1.2</f>
        <v>17394.888000000003</v>
      </c>
      <c r="G351" s="51">
        <f>6057.66*1.2</f>
        <v>7269.192</v>
      </c>
      <c r="H351" s="51">
        <f>32634.69*1.2</f>
        <v>39161.628</v>
      </c>
      <c r="I351" s="51">
        <f>(32634.69-9618.35)*1.2</f>
        <v>27619.607999999997</v>
      </c>
      <c r="J351" s="51">
        <f>9618.35*1.2</f>
        <v>11542.02</v>
      </c>
      <c r="K351" s="18"/>
      <c r="L351" s="19"/>
      <c r="M351" s="18"/>
      <c r="N351" s="12"/>
    </row>
    <row r="352" spans="1:14" s="6" customFormat="1" ht="38.25">
      <c r="A352" s="50">
        <v>295</v>
      </c>
      <c r="B352" s="50" t="s">
        <v>259</v>
      </c>
      <c r="C352" s="51" t="s">
        <v>260</v>
      </c>
      <c r="D352" s="51" t="s">
        <v>60</v>
      </c>
      <c r="E352" s="52">
        <v>162</v>
      </c>
      <c r="F352" s="51">
        <f>(446.75-446.75)*1.2</f>
        <v>0</v>
      </c>
      <c r="G352" s="51">
        <f>446.75*1.2</f>
        <v>536.1</v>
      </c>
      <c r="H352" s="51">
        <f>72373.5*1.2</f>
        <v>86848.2</v>
      </c>
      <c r="I352" s="51">
        <f>(72373.5-72373.5)*1.2</f>
        <v>0</v>
      </c>
      <c r="J352" s="51">
        <f>72373.5*1.2</f>
        <v>86848.2</v>
      </c>
      <c r="K352" s="18"/>
      <c r="L352" s="19"/>
      <c r="M352" s="18"/>
      <c r="N352" s="12"/>
    </row>
    <row r="353" spans="1:14" s="6" customFormat="1" ht="216.75">
      <c r="A353" s="50">
        <v>296</v>
      </c>
      <c r="B353" s="50" t="s">
        <v>261</v>
      </c>
      <c r="C353" s="51" t="s">
        <v>374</v>
      </c>
      <c r="D353" s="51" t="s">
        <v>131</v>
      </c>
      <c r="E353" s="52">
        <v>1.698</v>
      </c>
      <c r="F353" s="51">
        <f>(2517.38-200.14)*1.2</f>
        <v>2780.688</v>
      </c>
      <c r="G353" s="51">
        <f>200.14*1.2</f>
        <v>240.16799999999998</v>
      </c>
      <c r="H353" s="51">
        <f>4274.51*1.2</f>
        <v>5129.412</v>
      </c>
      <c r="I353" s="51">
        <f>(4274.51-339.84)*1.2</f>
        <v>4721.604</v>
      </c>
      <c r="J353" s="51">
        <f>339.84*1.2</f>
        <v>407.80799999999994</v>
      </c>
      <c r="K353" s="18"/>
      <c r="L353" s="19"/>
      <c r="M353" s="18"/>
      <c r="N353" s="12"/>
    </row>
    <row r="354" spans="1:14" s="6" customFormat="1" ht="12.75">
      <c r="A354" s="50">
        <v>297</v>
      </c>
      <c r="B354" s="50" t="s">
        <v>263</v>
      </c>
      <c r="C354" s="51" t="s">
        <v>264</v>
      </c>
      <c r="D354" s="51" t="s">
        <v>134</v>
      </c>
      <c r="E354" s="52">
        <v>171.5</v>
      </c>
      <c r="F354" s="51">
        <f>(7.87-7.87)*1.2</f>
        <v>0</v>
      </c>
      <c r="G354" s="51">
        <f>7.87*1.2</f>
        <v>9.443999999999999</v>
      </c>
      <c r="H354" s="51">
        <f>1349.71*1.2</f>
        <v>1619.652</v>
      </c>
      <c r="I354" s="51">
        <f>(1349.71-1349.71)*1.2</f>
        <v>0</v>
      </c>
      <c r="J354" s="51">
        <f>1349.71*1.2</f>
        <v>1619.652</v>
      </c>
      <c r="K354" s="18"/>
      <c r="L354" s="19"/>
      <c r="M354" s="18"/>
      <c r="N354" s="12"/>
    </row>
    <row r="355" spans="1:14" s="6" customFormat="1" ht="12.75">
      <c r="A355" s="50">
        <v>298</v>
      </c>
      <c r="B355" s="50" t="s">
        <v>265</v>
      </c>
      <c r="C355" s="51" t="s">
        <v>266</v>
      </c>
      <c r="D355" s="51" t="s">
        <v>267</v>
      </c>
      <c r="E355" s="52">
        <v>0.1358</v>
      </c>
      <c r="F355" s="51">
        <f>(617.97-618)*1.2</f>
        <v>-0.03599999999996726</v>
      </c>
      <c r="G355" s="51">
        <f>618*1.2</f>
        <v>741.6</v>
      </c>
      <c r="H355" s="51">
        <f>83.92*1.2</f>
        <v>100.704</v>
      </c>
      <c r="I355" s="51">
        <f>(83.92-83.92)*1.2</f>
        <v>0</v>
      </c>
      <c r="J355" s="51">
        <f>83.92*1.2</f>
        <v>100.704</v>
      </c>
      <c r="K355" s="18"/>
      <c r="L355" s="19"/>
      <c r="M355" s="18"/>
      <c r="N355" s="12"/>
    </row>
    <row r="356" spans="1:14" s="6" customFormat="1" ht="12.75">
      <c r="A356" s="50">
        <v>299</v>
      </c>
      <c r="B356" s="50" t="s">
        <v>268</v>
      </c>
      <c r="C356" s="51" t="s">
        <v>269</v>
      </c>
      <c r="D356" s="51" t="s">
        <v>267</v>
      </c>
      <c r="E356" s="52">
        <v>0.1358</v>
      </c>
      <c r="F356" s="51">
        <f>(617.97-618)*1.2</f>
        <v>-0.03599999999996726</v>
      </c>
      <c r="G356" s="51">
        <f>618*1.2</f>
        <v>741.6</v>
      </c>
      <c r="H356" s="51">
        <f>83.92*1.2</f>
        <v>100.704</v>
      </c>
      <c r="I356" s="51">
        <f>(83.92-83.92)*1.2</f>
        <v>0</v>
      </c>
      <c r="J356" s="51">
        <f>83.92*1.2</f>
        <v>100.704</v>
      </c>
      <c r="K356" s="18"/>
      <c r="L356" s="19"/>
      <c r="M356" s="18"/>
      <c r="N356" s="12"/>
    </row>
    <row r="357" spans="1:14" s="6" customFormat="1" ht="12.75">
      <c r="A357" s="50">
        <v>300</v>
      </c>
      <c r="B357" s="50" t="s">
        <v>270</v>
      </c>
      <c r="C357" s="51" t="s">
        <v>271</v>
      </c>
      <c r="D357" s="51" t="s">
        <v>267</v>
      </c>
      <c r="E357" s="52">
        <v>0.6792</v>
      </c>
      <c r="F357" s="51">
        <f>(879-879)*1.2</f>
        <v>0</v>
      </c>
      <c r="G357" s="51">
        <f>879*1.2</f>
        <v>1054.8</v>
      </c>
      <c r="H357" s="51">
        <f>597.02*1.2</f>
        <v>716.424</v>
      </c>
      <c r="I357" s="51">
        <f>(597.02-597.02)*1.2</f>
        <v>0</v>
      </c>
      <c r="J357" s="51">
        <f>597.02*1.2</f>
        <v>716.424</v>
      </c>
      <c r="K357" s="18"/>
      <c r="L357" s="19"/>
      <c r="M357" s="18"/>
      <c r="N357" s="12"/>
    </row>
    <row r="358" spans="1:14" s="6" customFormat="1" ht="12.75">
      <c r="A358" s="50">
        <v>301</v>
      </c>
      <c r="B358" s="50" t="s">
        <v>272</v>
      </c>
      <c r="C358" s="51" t="s">
        <v>273</v>
      </c>
      <c r="D358" s="51" t="s">
        <v>267</v>
      </c>
      <c r="E358" s="52">
        <v>0.1189</v>
      </c>
      <c r="F358" s="51">
        <f>(793.02-793)*1.2</f>
        <v>0.02399999999997817</v>
      </c>
      <c r="G358" s="51">
        <f>793*1.2</f>
        <v>951.5999999999999</v>
      </c>
      <c r="H358" s="51">
        <f>94.29*1.2</f>
        <v>113.14800000000001</v>
      </c>
      <c r="I358" s="51">
        <f>(94.29-94.29)*1.2</f>
        <v>0</v>
      </c>
      <c r="J358" s="51">
        <f>94.29*1.2</f>
        <v>113.14800000000001</v>
      </c>
      <c r="K358" s="18"/>
      <c r="L358" s="19"/>
      <c r="M358" s="18"/>
      <c r="N358" s="12"/>
    </row>
    <row r="359" spans="1:14" s="6" customFormat="1" ht="12.75">
      <c r="A359" s="50">
        <v>302</v>
      </c>
      <c r="B359" s="50" t="s">
        <v>274</v>
      </c>
      <c r="C359" s="51" t="s">
        <v>275</v>
      </c>
      <c r="D359" s="51" t="s">
        <v>267</v>
      </c>
      <c r="E359" s="52">
        <v>0.1189</v>
      </c>
      <c r="F359" s="51">
        <f>(793.02-793)*1.2</f>
        <v>0.02399999999997817</v>
      </c>
      <c r="G359" s="51">
        <f>793*1.2</f>
        <v>951.5999999999999</v>
      </c>
      <c r="H359" s="51">
        <f>94.29*1.2</f>
        <v>113.14800000000001</v>
      </c>
      <c r="I359" s="51">
        <f>(94.29-94.29)*1.2</f>
        <v>0</v>
      </c>
      <c r="J359" s="51">
        <f>94.29*1.2</f>
        <v>113.14800000000001</v>
      </c>
      <c r="K359" s="18"/>
      <c r="L359" s="19"/>
      <c r="M359" s="18"/>
      <c r="N359" s="12"/>
    </row>
    <row r="360" spans="1:14" s="6" customFormat="1" ht="18" customHeight="1">
      <c r="A360" s="77" t="s">
        <v>276</v>
      </c>
      <c r="B360" s="78"/>
      <c r="C360" s="78"/>
      <c r="D360" s="78"/>
      <c r="E360" s="78"/>
      <c r="F360" s="78"/>
      <c r="G360" s="78"/>
      <c r="H360" s="78"/>
      <c r="I360" s="78"/>
      <c r="J360" s="78"/>
      <c r="K360" s="18"/>
      <c r="L360" s="19"/>
      <c r="M360" s="18"/>
      <c r="N360" s="12"/>
    </row>
    <row r="361" spans="1:14" s="6" customFormat="1" ht="140.25">
      <c r="A361" s="50">
        <v>303</v>
      </c>
      <c r="B361" s="50" t="s">
        <v>236</v>
      </c>
      <c r="C361" s="51" t="s">
        <v>375</v>
      </c>
      <c r="D361" s="51" t="s">
        <v>31</v>
      </c>
      <c r="E361" s="52">
        <v>2.1967</v>
      </c>
      <c r="F361" s="51">
        <f>(12403.97-65.7)*1.2</f>
        <v>14805.923999999997</v>
      </c>
      <c r="G361" s="51">
        <f>65.7*1.2</f>
        <v>78.84</v>
      </c>
      <c r="H361" s="51">
        <f>27247.79*1.2</f>
        <v>32697.347999999998</v>
      </c>
      <c r="I361" s="51">
        <f>(27247.79-144.32)*1.2</f>
        <v>32524.164</v>
      </c>
      <c r="J361" s="51">
        <f>144.32*1.2</f>
        <v>173.184</v>
      </c>
      <c r="K361" s="18"/>
      <c r="L361" s="19"/>
      <c r="M361" s="18"/>
      <c r="N361" s="12"/>
    </row>
    <row r="362" spans="1:14" s="6" customFormat="1" ht="12.75">
      <c r="A362" s="50">
        <v>304</v>
      </c>
      <c r="B362" s="50" t="s">
        <v>238</v>
      </c>
      <c r="C362" s="51" t="s">
        <v>239</v>
      </c>
      <c r="D362" s="51" t="s">
        <v>81</v>
      </c>
      <c r="E362" s="52">
        <v>4.481</v>
      </c>
      <c r="F362" s="51">
        <f>(3051.4-3051.4)*1.2</f>
        <v>0</v>
      </c>
      <c r="G362" s="51">
        <f>3051.4*1.2</f>
        <v>3661.68</v>
      </c>
      <c r="H362" s="51">
        <f>13673.32*1.2</f>
        <v>16407.984</v>
      </c>
      <c r="I362" s="51">
        <f>(13673.32-13673.32)*1.2</f>
        <v>0</v>
      </c>
      <c r="J362" s="51">
        <f>13673.32*1.2</f>
        <v>16407.984</v>
      </c>
      <c r="K362" s="18"/>
      <c r="L362" s="19"/>
      <c r="M362" s="18"/>
      <c r="N362" s="12"/>
    </row>
    <row r="363" spans="1:14" s="6" customFormat="1" ht="178.5">
      <c r="A363" s="50">
        <v>305</v>
      </c>
      <c r="B363" s="50" t="s">
        <v>240</v>
      </c>
      <c r="C363" s="51" t="s">
        <v>376</v>
      </c>
      <c r="D363" s="51" t="s">
        <v>81</v>
      </c>
      <c r="E363" s="52">
        <v>10.9835</v>
      </c>
      <c r="F363" s="51">
        <f>(4017.79-752.57)*1.2</f>
        <v>3918.2639999999997</v>
      </c>
      <c r="G363" s="51">
        <f>752.57*1.2</f>
        <v>903.0840000000001</v>
      </c>
      <c r="H363" s="51">
        <f>44129.36*1.2</f>
        <v>52955.231999999996</v>
      </c>
      <c r="I363" s="51">
        <f>(44129.36-8265.84)*1.2</f>
        <v>43036.224</v>
      </c>
      <c r="J363" s="51">
        <f>8265.84*1.2</f>
        <v>9919.008</v>
      </c>
      <c r="K363" s="18"/>
      <c r="L363" s="19"/>
      <c r="M363" s="18"/>
      <c r="N363" s="12"/>
    </row>
    <row r="364" spans="1:14" s="6" customFormat="1" ht="12.75">
      <c r="A364" s="50">
        <v>306</v>
      </c>
      <c r="B364" s="50" t="s">
        <v>279</v>
      </c>
      <c r="C364" s="51" t="s">
        <v>280</v>
      </c>
      <c r="D364" s="51" t="s">
        <v>81</v>
      </c>
      <c r="E364" s="52">
        <v>10.87</v>
      </c>
      <c r="F364" s="51">
        <f>(2799.07-2799.07)*1.2</f>
        <v>0</v>
      </c>
      <c r="G364" s="51">
        <f>2799.07*1.2</f>
        <v>3358.884</v>
      </c>
      <c r="H364" s="51">
        <f>30425.89*1.2</f>
        <v>36511.068</v>
      </c>
      <c r="I364" s="51">
        <f>(30425.89-30425.89)*1.2</f>
        <v>0</v>
      </c>
      <c r="J364" s="51">
        <f>30425.89*1.2</f>
        <v>36511.068</v>
      </c>
      <c r="K364" s="18"/>
      <c r="L364" s="19"/>
      <c r="M364" s="18"/>
      <c r="N364" s="12"/>
    </row>
    <row r="365" spans="1:14" s="6" customFormat="1" ht="140.25">
      <c r="A365" s="50">
        <v>307</v>
      </c>
      <c r="B365" s="50" t="s">
        <v>236</v>
      </c>
      <c r="C365" s="51" t="s">
        <v>375</v>
      </c>
      <c r="D365" s="51" t="s">
        <v>31</v>
      </c>
      <c r="E365" s="52">
        <v>2.1967</v>
      </c>
      <c r="F365" s="51">
        <f>(12403.97-65.7)*1.2</f>
        <v>14805.923999999997</v>
      </c>
      <c r="G365" s="51">
        <f>65.7*1.2</f>
        <v>78.84</v>
      </c>
      <c r="H365" s="51">
        <f>27247.79*1.2</f>
        <v>32697.347999999998</v>
      </c>
      <c r="I365" s="51">
        <f>(27247.79-144.32)*1.2</f>
        <v>32524.164</v>
      </c>
      <c r="J365" s="51">
        <f>144.32*1.2</f>
        <v>173.184</v>
      </c>
      <c r="K365" s="18"/>
      <c r="L365" s="19"/>
      <c r="M365" s="18"/>
      <c r="N365" s="12"/>
    </row>
    <row r="366" spans="1:14" s="6" customFormat="1" ht="12.75">
      <c r="A366" s="50">
        <v>308</v>
      </c>
      <c r="B366" s="50" t="s">
        <v>238</v>
      </c>
      <c r="C366" s="51" t="s">
        <v>239</v>
      </c>
      <c r="D366" s="51" t="s">
        <v>81</v>
      </c>
      <c r="E366" s="52">
        <v>4.481</v>
      </c>
      <c r="F366" s="51">
        <f>(3051.4-3051.4)*1.2</f>
        <v>0</v>
      </c>
      <c r="G366" s="51">
        <f>3051.4*1.2</f>
        <v>3661.68</v>
      </c>
      <c r="H366" s="51">
        <f>13673.32*1.2</f>
        <v>16407.984</v>
      </c>
      <c r="I366" s="51">
        <f>(13673.32-13673.32)*1.2</f>
        <v>0</v>
      </c>
      <c r="J366" s="51">
        <f>13673.32*1.2</f>
        <v>16407.984</v>
      </c>
      <c r="K366" s="18"/>
      <c r="L366" s="19"/>
      <c r="M366" s="18"/>
      <c r="N366" s="12"/>
    </row>
    <row r="367" spans="1:14" s="6" customFormat="1" ht="140.25">
      <c r="A367" s="50">
        <v>309</v>
      </c>
      <c r="B367" s="50" t="s">
        <v>281</v>
      </c>
      <c r="C367" s="51" t="s">
        <v>377</v>
      </c>
      <c r="D367" s="51" t="s">
        <v>31</v>
      </c>
      <c r="E367" s="52">
        <v>2.1967</v>
      </c>
      <c r="F367" s="51">
        <f>(1512.04-0)*1.2</f>
        <v>1814.4479999999999</v>
      </c>
      <c r="G367" s="51">
        <f>0*1.2</f>
        <v>0</v>
      </c>
      <c r="H367" s="51">
        <f>3321.5*1.2</f>
        <v>3985.7999999999997</v>
      </c>
      <c r="I367" s="51">
        <f>(3321.5-0)*1.2</f>
        <v>3985.7999999999997</v>
      </c>
      <c r="J367" s="51">
        <f>0*1.2</f>
        <v>0</v>
      </c>
      <c r="K367" s="18"/>
      <c r="L367" s="19"/>
      <c r="M367" s="18"/>
      <c r="N367" s="12"/>
    </row>
    <row r="368" spans="1:14" s="6" customFormat="1" ht="12.75">
      <c r="A368" s="50">
        <v>310</v>
      </c>
      <c r="B368" s="50" t="s">
        <v>238</v>
      </c>
      <c r="C368" s="51" t="s">
        <v>239</v>
      </c>
      <c r="D368" s="51" t="s">
        <v>81</v>
      </c>
      <c r="E368" s="52">
        <v>6.722</v>
      </c>
      <c r="F368" s="51">
        <f>(3051.4-3051.4)*1.2</f>
        <v>0</v>
      </c>
      <c r="G368" s="51">
        <f>3051.4*1.2</f>
        <v>3661.68</v>
      </c>
      <c r="H368" s="51">
        <f>20511.51*1.2</f>
        <v>24613.811999999998</v>
      </c>
      <c r="I368" s="51">
        <f>(20511.51-20511.51)*1.2</f>
        <v>0</v>
      </c>
      <c r="J368" s="51">
        <f>20511.51*1.2</f>
        <v>24613.811999999998</v>
      </c>
      <c r="K368" s="18"/>
      <c r="L368" s="19"/>
      <c r="M368" s="18"/>
      <c r="N368" s="12"/>
    </row>
    <row r="369" spans="1:14" s="6" customFormat="1" ht="127.5">
      <c r="A369" s="50">
        <v>311</v>
      </c>
      <c r="B369" s="50" t="s">
        <v>283</v>
      </c>
      <c r="C369" s="51" t="s">
        <v>378</v>
      </c>
      <c r="D369" s="51" t="s">
        <v>31</v>
      </c>
      <c r="E369" s="52">
        <v>2.1967</v>
      </c>
      <c r="F369" s="51">
        <f>(13695.64-14.94)*1.2</f>
        <v>16416.839999999997</v>
      </c>
      <c r="G369" s="51">
        <f>14.94*1.2</f>
        <v>17.927999999999997</v>
      </c>
      <c r="H369" s="51">
        <f>30085.22*1.2</f>
        <v>36102.264</v>
      </c>
      <c r="I369" s="51">
        <f>(30085.22-32.82)*1.2</f>
        <v>36062.88</v>
      </c>
      <c r="J369" s="51">
        <f>32.82*1.2</f>
        <v>39.384</v>
      </c>
      <c r="K369" s="18"/>
      <c r="L369" s="19"/>
      <c r="M369" s="18"/>
      <c r="N369" s="12"/>
    </row>
    <row r="370" spans="1:14" s="6" customFormat="1" ht="25.5">
      <c r="A370" s="50">
        <v>312</v>
      </c>
      <c r="B370" s="50" t="s">
        <v>285</v>
      </c>
      <c r="C370" s="51" t="s">
        <v>286</v>
      </c>
      <c r="D370" s="51" t="s">
        <v>60</v>
      </c>
      <c r="E370" s="52">
        <v>224.1</v>
      </c>
      <c r="F370" s="51">
        <f>(161.89-161.89)*1.2</f>
        <v>0</v>
      </c>
      <c r="G370" s="51">
        <f>161.89*1.2</f>
        <v>194.26799999999997</v>
      </c>
      <c r="H370" s="51">
        <f>36279.55*1.2</f>
        <v>43535.46</v>
      </c>
      <c r="I370" s="51">
        <f>(36279.55-36279.55)*1.2</f>
        <v>0</v>
      </c>
      <c r="J370" s="51">
        <f>36279.55*1.2</f>
        <v>43535.46</v>
      </c>
      <c r="K370" s="18"/>
      <c r="L370" s="19"/>
      <c r="M370" s="18"/>
      <c r="N370" s="12"/>
    </row>
    <row r="371" spans="1:14" s="6" customFormat="1" ht="12.75">
      <c r="A371" s="50">
        <v>313</v>
      </c>
      <c r="B371" s="50" t="s">
        <v>287</v>
      </c>
      <c r="C371" s="51" t="s">
        <v>288</v>
      </c>
      <c r="D371" s="51" t="s">
        <v>38</v>
      </c>
      <c r="E371" s="52">
        <v>0.1098</v>
      </c>
      <c r="F371" s="51">
        <f>(62855.37-62855.33)*1.2</f>
        <v>0.04800000000104774</v>
      </c>
      <c r="G371" s="51">
        <f>62855.33*1.2</f>
        <v>75426.396</v>
      </c>
      <c r="H371" s="51">
        <f>6901.52*1.2</f>
        <v>8281.824</v>
      </c>
      <c r="I371" s="51">
        <f>(6901.52-6901.52)*1.2</f>
        <v>0</v>
      </c>
      <c r="J371" s="51">
        <f>6901.52*1.2</f>
        <v>8281.824</v>
      </c>
      <c r="K371" s="18"/>
      <c r="L371" s="19"/>
      <c r="M371" s="18"/>
      <c r="N371" s="12"/>
    </row>
    <row r="372" spans="1:14" s="6" customFormat="1" ht="216.75">
      <c r="A372" s="50">
        <v>314</v>
      </c>
      <c r="B372" s="50" t="s">
        <v>261</v>
      </c>
      <c r="C372" s="51" t="s">
        <v>379</v>
      </c>
      <c r="D372" s="51" t="s">
        <v>131</v>
      </c>
      <c r="E372" s="52">
        <v>2.35</v>
      </c>
      <c r="F372" s="51">
        <f>(2517.39-200.14)*1.2</f>
        <v>2780.7</v>
      </c>
      <c r="G372" s="51">
        <f>200.14*1.2</f>
        <v>240.16799999999998</v>
      </c>
      <c r="H372" s="51">
        <f>5915.87*1.2</f>
        <v>7099.044</v>
      </c>
      <c r="I372" s="51">
        <f>(5915.87-470.32)*1.2</f>
        <v>6534.66</v>
      </c>
      <c r="J372" s="51">
        <f>470.32*1.2</f>
        <v>564.384</v>
      </c>
      <c r="K372" s="18"/>
      <c r="L372" s="19"/>
      <c r="M372" s="18"/>
      <c r="N372" s="12"/>
    </row>
    <row r="373" spans="1:14" s="6" customFormat="1" ht="12.75">
      <c r="A373" s="50">
        <v>315</v>
      </c>
      <c r="B373" s="50" t="s">
        <v>263</v>
      </c>
      <c r="C373" s="51" t="s">
        <v>264</v>
      </c>
      <c r="D373" s="51" t="s">
        <v>134</v>
      </c>
      <c r="E373" s="52">
        <v>237.4</v>
      </c>
      <c r="F373" s="51">
        <f>(7.87-7.87)*1.2</f>
        <v>0</v>
      </c>
      <c r="G373" s="51">
        <f>7.87*1.2</f>
        <v>9.443999999999999</v>
      </c>
      <c r="H373" s="51">
        <f>1868.34*1.2</f>
        <v>2242.008</v>
      </c>
      <c r="I373" s="51">
        <f>(1868.34-1868.34)*1.2</f>
        <v>0</v>
      </c>
      <c r="J373" s="51">
        <f>1868.34*1.2</f>
        <v>2242.008</v>
      </c>
      <c r="K373" s="18"/>
      <c r="L373" s="19"/>
      <c r="M373" s="18"/>
      <c r="N373" s="12"/>
    </row>
    <row r="374" spans="1:14" s="6" customFormat="1" ht="12.75">
      <c r="A374" s="50">
        <v>316</v>
      </c>
      <c r="B374" s="50" t="s">
        <v>265</v>
      </c>
      <c r="C374" s="51" t="s">
        <v>266</v>
      </c>
      <c r="D374" s="51" t="s">
        <v>267</v>
      </c>
      <c r="E374" s="52">
        <v>0.188</v>
      </c>
      <c r="F374" s="51">
        <f>(617.98-618)*1.2</f>
        <v>-0.02399999999997817</v>
      </c>
      <c r="G374" s="51">
        <f>618*1.2</f>
        <v>741.6</v>
      </c>
      <c r="H374" s="51">
        <f>116.18*1.2</f>
        <v>139.416</v>
      </c>
      <c r="I374" s="51">
        <f>(116.18-116.18)*1.2</f>
        <v>0</v>
      </c>
      <c r="J374" s="51">
        <f>116.18*1.2</f>
        <v>139.416</v>
      </c>
      <c r="K374" s="18"/>
      <c r="L374" s="19"/>
      <c r="M374" s="18"/>
      <c r="N374" s="12"/>
    </row>
    <row r="375" spans="1:14" s="6" customFormat="1" ht="12.75">
      <c r="A375" s="50">
        <v>317</v>
      </c>
      <c r="B375" s="50" t="s">
        <v>268</v>
      </c>
      <c r="C375" s="51" t="s">
        <v>269</v>
      </c>
      <c r="D375" s="51" t="s">
        <v>267</v>
      </c>
      <c r="E375" s="52">
        <v>0.188</v>
      </c>
      <c r="F375" s="51">
        <f>(617.98-618)*1.2</f>
        <v>-0.02399999999997817</v>
      </c>
      <c r="G375" s="51">
        <f>618*1.2</f>
        <v>741.6</v>
      </c>
      <c r="H375" s="51">
        <f>116.18*1.2</f>
        <v>139.416</v>
      </c>
      <c r="I375" s="51">
        <f>(116.18-116.18)*1.2</f>
        <v>0</v>
      </c>
      <c r="J375" s="51">
        <f>116.18*1.2</f>
        <v>139.416</v>
      </c>
      <c r="K375" s="18"/>
      <c r="L375" s="19"/>
      <c r="M375" s="18"/>
      <c r="N375" s="12"/>
    </row>
    <row r="376" spans="1:14" s="6" customFormat="1" ht="12.75">
      <c r="A376" s="50">
        <v>318</v>
      </c>
      <c r="B376" s="50" t="s">
        <v>270</v>
      </c>
      <c r="C376" s="51" t="s">
        <v>271</v>
      </c>
      <c r="D376" s="51" t="s">
        <v>267</v>
      </c>
      <c r="E376" s="52">
        <v>0.94</v>
      </c>
      <c r="F376" s="51">
        <f>(879-879)*1.2</f>
        <v>0</v>
      </c>
      <c r="G376" s="51">
        <f>879*1.2</f>
        <v>1054.8</v>
      </c>
      <c r="H376" s="51">
        <f>826.26*1.2</f>
        <v>991.512</v>
      </c>
      <c r="I376" s="51">
        <f>(826.26-826.26)*1.2</f>
        <v>0</v>
      </c>
      <c r="J376" s="51">
        <f>826.26*1.2</f>
        <v>991.512</v>
      </c>
      <c r="K376" s="18"/>
      <c r="L376" s="19"/>
      <c r="M376" s="18"/>
      <c r="N376" s="12"/>
    </row>
    <row r="377" spans="1:14" s="6" customFormat="1" ht="12.75">
      <c r="A377" s="50">
        <v>319</v>
      </c>
      <c r="B377" s="50" t="s">
        <v>272</v>
      </c>
      <c r="C377" s="51" t="s">
        <v>273</v>
      </c>
      <c r="D377" s="51" t="s">
        <v>267</v>
      </c>
      <c r="E377" s="52">
        <v>0.1645</v>
      </c>
      <c r="F377" s="51">
        <f>(793.01-793)*1.2</f>
        <v>0.011999999999989085</v>
      </c>
      <c r="G377" s="51">
        <f>793*1.2</f>
        <v>951.5999999999999</v>
      </c>
      <c r="H377" s="51">
        <f>130.45*1.2</f>
        <v>156.54</v>
      </c>
      <c r="I377" s="51">
        <f>(130.45-130.45)*1.2</f>
        <v>0</v>
      </c>
      <c r="J377" s="51">
        <f>130.45*1.2</f>
        <v>156.54</v>
      </c>
      <c r="K377" s="18"/>
      <c r="L377" s="19"/>
      <c r="M377" s="18"/>
      <c r="N377" s="12"/>
    </row>
    <row r="378" spans="1:14" s="6" customFormat="1" ht="12.75">
      <c r="A378" s="50">
        <v>320</v>
      </c>
      <c r="B378" s="50" t="s">
        <v>274</v>
      </c>
      <c r="C378" s="51" t="s">
        <v>275</v>
      </c>
      <c r="D378" s="51" t="s">
        <v>267</v>
      </c>
      <c r="E378" s="52">
        <v>0.1645</v>
      </c>
      <c r="F378" s="51">
        <f>(793.01-793)*1.2</f>
        <v>0.011999999999989085</v>
      </c>
      <c r="G378" s="51">
        <f>793*1.2</f>
        <v>951.5999999999999</v>
      </c>
      <c r="H378" s="51">
        <f>130.45*1.2</f>
        <v>156.54</v>
      </c>
      <c r="I378" s="51">
        <f>(130.45-130.45)*1.2</f>
        <v>0</v>
      </c>
      <c r="J378" s="51">
        <f>130.45*1.2</f>
        <v>156.54</v>
      </c>
      <c r="K378" s="18"/>
      <c r="L378" s="19"/>
      <c r="M378" s="18"/>
      <c r="N378" s="12"/>
    </row>
    <row r="379" spans="1:14" s="6" customFormat="1" ht="18" customHeight="1">
      <c r="A379" s="77" t="s">
        <v>290</v>
      </c>
      <c r="B379" s="78"/>
      <c r="C379" s="78"/>
      <c r="D379" s="78"/>
      <c r="E379" s="78"/>
      <c r="F379" s="78"/>
      <c r="G379" s="78"/>
      <c r="H379" s="78"/>
      <c r="I379" s="78"/>
      <c r="J379" s="78"/>
      <c r="K379" s="18"/>
      <c r="L379" s="19"/>
      <c r="M379" s="18"/>
      <c r="N379" s="12"/>
    </row>
    <row r="380" spans="1:14" s="6" customFormat="1" ht="140.25">
      <c r="A380" s="50">
        <v>321</v>
      </c>
      <c r="B380" s="50" t="s">
        <v>236</v>
      </c>
      <c r="C380" s="51" t="s">
        <v>380</v>
      </c>
      <c r="D380" s="51" t="s">
        <v>31</v>
      </c>
      <c r="E380" s="52">
        <v>2.9196</v>
      </c>
      <c r="F380" s="51">
        <f>(12403.97-65.7)*1.2</f>
        <v>14805.923999999997</v>
      </c>
      <c r="G380" s="51">
        <f>65.7*1.2</f>
        <v>78.84</v>
      </c>
      <c r="H380" s="51">
        <f>36214.62*1.2</f>
        <v>43457.544</v>
      </c>
      <c r="I380" s="51">
        <f>(36214.62-191.82)*1.2</f>
        <v>43227.36</v>
      </c>
      <c r="J380" s="51">
        <f>191.82*1.2</f>
        <v>230.184</v>
      </c>
      <c r="K380" s="18"/>
      <c r="L380" s="19"/>
      <c r="M380" s="18"/>
      <c r="N380" s="12"/>
    </row>
    <row r="381" spans="1:14" s="6" customFormat="1" ht="12.75">
      <c r="A381" s="50">
        <v>322</v>
      </c>
      <c r="B381" s="50" t="s">
        <v>238</v>
      </c>
      <c r="C381" s="51" t="s">
        <v>239</v>
      </c>
      <c r="D381" s="51" t="s">
        <v>81</v>
      </c>
      <c r="E381" s="52">
        <v>5.956</v>
      </c>
      <c r="F381" s="51">
        <f>(3051.4-3051.4)*1.2</f>
        <v>0</v>
      </c>
      <c r="G381" s="51">
        <f>3051.4*1.2</f>
        <v>3661.68</v>
      </c>
      <c r="H381" s="51">
        <f>18174.14*1.2</f>
        <v>21808.967999999997</v>
      </c>
      <c r="I381" s="51">
        <f>(18174.14-18174.14)*1.2</f>
        <v>0</v>
      </c>
      <c r="J381" s="51">
        <f>18174.14*1.2</f>
        <v>21808.967999999997</v>
      </c>
      <c r="K381" s="18"/>
      <c r="L381" s="19"/>
      <c r="M381" s="18"/>
      <c r="N381" s="12"/>
    </row>
    <row r="382" spans="1:14" s="6" customFormat="1" ht="178.5">
      <c r="A382" s="50">
        <v>323</v>
      </c>
      <c r="B382" s="50" t="s">
        <v>240</v>
      </c>
      <c r="C382" s="51" t="s">
        <v>381</v>
      </c>
      <c r="D382" s="51" t="s">
        <v>81</v>
      </c>
      <c r="E382" s="52">
        <v>10.2186</v>
      </c>
      <c r="F382" s="51">
        <f>(4017.79-752.57)*1.2</f>
        <v>3918.2639999999997</v>
      </c>
      <c r="G382" s="51">
        <f>752.57*1.2</f>
        <v>903.0840000000001</v>
      </c>
      <c r="H382" s="51">
        <f>41056.15*1.2</f>
        <v>49267.38</v>
      </c>
      <c r="I382" s="51">
        <f>(41056.15-7690.21)*1.2</f>
        <v>40039.128000000004</v>
      </c>
      <c r="J382" s="51">
        <f>7690.21*1.2</f>
        <v>9228.252</v>
      </c>
      <c r="K382" s="18"/>
      <c r="L382" s="19"/>
      <c r="M382" s="18"/>
      <c r="N382" s="12"/>
    </row>
    <row r="383" spans="1:14" s="6" customFormat="1" ht="12.75">
      <c r="A383" s="50">
        <v>324</v>
      </c>
      <c r="B383" s="50" t="s">
        <v>242</v>
      </c>
      <c r="C383" s="51" t="s">
        <v>243</v>
      </c>
      <c r="D383" s="51" t="s">
        <v>81</v>
      </c>
      <c r="E383" s="52">
        <v>10.12</v>
      </c>
      <c r="F383" s="51">
        <f>(2045.96-2045.96)*1.2</f>
        <v>0</v>
      </c>
      <c r="G383" s="51">
        <f>2045.96*1.2</f>
        <v>2455.152</v>
      </c>
      <c r="H383" s="51">
        <f>20705.12*1.2</f>
        <v>24846.143999999997</v>
      </c>
      <c r="I383" s="51">
        <f>(20705.12-20705.12)*1.2</f>
        <v>0</v>
      </c>
      <c r="J383" s="51">
        <f>20705.12*1.2</f>
        <v>24846.143999999997</v>
      </c>
      <c r="K383" s="18"/>
      <c r="L383" s="19"/>
      <c r="M383" s="18"/>
      <c r="N383" s="12"/>
    </row>
    <row r="384" spans="1:14" s="6" customFormat="1" ht="140.25">
      <c r="A384" s="50">
        <v>325</v>
      </c>
      <c r="B384" s="50" t="s">
        <v>236</v>
      </c>
      <c r="C384" s="51" t="s">
        <v>380</v>
      </c>
      <c r="D384" s="51" t="s">
        <v>31</v>
      </c>
      <c r="E384" s="52">
        <v>2.9196</v>
      </c>
      <c r="F384" s="51">
        <f>(12403.97-65.7)*1.2</f>
        <v>14805.923999999997</v>
      </c>
      <c r="G384" s="51">
        <f>65.7*1.2</f>
        <v>78.84</v>
      </c>
      <c r="H384" s="51">
        <f>36214.62*1.2</f>
        <v>43457.544</v>
      </c>
      <c r="I384" s="51">
        <f>(36214.62-191.82)*1.2</f>
        <v>43227.36</v>
      </c>
      <c r="J384" s="51">
        <f>191.82*1.2</f>
        <v>230.184</v>
      </c>
      <c r="K384" s="18"/>
      <c r="L384" s="19"/>
      <c r="M384" s="18"/>
      <c r="N384" s="12"/>
    </row>
    <row r="385" spans="1:14" s="6" customFormat="1" ht="12.75">
      <c r="A385" s="50">
        <v>326</v>
      </c>
      <c r="B385" s="50" t="s">
        <v>238</v>
      </c>
      <c r="C385" s="51" t="s">
        <v>239</v>
      </c>
      <c r="D385" s="51" t="s">
        <v>81</v>
      </c>
      <c r="E385" s="52">
        <v>5.956</v>
      </c>
      <c r="F385" s="51">
        <f>(3051.4-3051.4)*1.2</f>
        <v>0</v>
      </c>
      <c r="G385" s="51">
        <f>3051.4*1.2</f>
        <v>3661.68</v>
      </c>
      <c r="H385" s="51">
        <f>18174.14*1.2</f>
        <v>21808.967999999997</v>
      </c>
      <c r="I385" s="51">
        <f>(18174.14-18174.14)*1.2</f>
        <v>0</v>
      </c>
      <c r="J385" s="51">
        <f>18174.14*1.2</f>
        <v>21808.967999999997</v>
      </c>
      <c r="K385" s="18"/>
      <c r="L385" s="19"/>
      <c r="M385" s="18"/>
      <c r="N385" s="12"/>
    </row>
    <row r="386" spans="1:14" s="6" customFormat="1" ht="178.5">
      <c r="A386" s="50">
        <v>327</v>
      </c>
      <c r="B386" s="50" t="s">
        <v>293</v>
      </c>
      <c r="C386" s="51" t="s">
        <v>382</v>
      </c>
      <c r="D386" s="51" t="s">
        <v>31</v>
      </c>
      <c r="E386" s="52">
        <v>2.9196</v>
      </c>
      <c r="F386" s="51">
        <f>(27138.14-14362.18)*1.2</f>
        <v>15331.151999999998</v>
      </c>
      <c r="G386" s="51">
        <f>14362.18*1.2</f>
        <v>17234.615999999998</v>
      </c>
      <c r="H386" s="51">
        <f>79232.52*1.2</f>
        <v>95079.024</v>
      </c>
      <c r="I386" s="51">
        <f>(79232.52-41931.82)*1.2</f>
        <v>44760.840000000004</v>
      </c>
      <c r="J386" s="51">
        <f>41931.82*1.2</f>
        <v>50318.184</v>
      </c>
      <c r="K386" s="18"/>
      <c r="L386" s="19"/>
      <c r="M386" s="18"/>
      <c r="N386" s="12"/>
    </row>
    <row r="387" spans="1:14" s="6" customFormat="1" ht="12.75">
      <c r="A387" s="50">
        <v>328</v>
      </c>
      <c r="B387" s="50" t="s">
        <v>295</v>
      </c>
      <c r="C387" s="51" t="s">
        <v>296</v>
      </c>
      <c r="D387" s="51" t="s">
        <v>60</v>
      </c>
      <c r="E387" s="52">
        <v>338.7</v>
      </c>
      <c r="F387" s="51">
        <f>(50.22-50.22)*1.2</f>
        <v>0</v>
      </c>
      <c r="G387" s="51">
        <f>50.22*1.2</f>
        <v>60.263999999999996</v>
      </c>
      <c r="H387" s="51">
        <f>17009.51*1.2</f>
        <v>20411.411999999997</v>
      </c>
      <c r="I387" s="51">
        <f>(17009.51-17009.51)*1.2</f>
        <v>0</v>
      </c>
      <c r="J387" s="51">
        <f>17009.51*1.2</f>
        <v>20411.411999999997</v>
      </c>
      <c r="K387" s="18"/>
      <c r="L387" s="19"/>
      <c r="M387" s="18"/>
      <c r="N387" s="12"/>
    </row>
    <row r="388" spans="1:14" s="6" customFormat="1" ht="140.25">
      <c r="A388" s="50">
        <v>329</v>
      </c>
      <c r="B388" s="50" t="s">
        <v>236</v>
      </c>
      <c r="C388" s="51" t="s">
        <v>380</v>
      </c>
      <c r="D388" s="51" t="s">
        <v>31</v>
      </c>
      <c r="E388" s="52">
        <v>2.9196</v>
      </c>
      <c r="F388" s="51">
        <f>(12403.97-65.7)*1.2</f>
        <v>14805.923999999997</v>
      </c>
      <c r="G388" s="51">
        <f>65.7*1.2</f>
        <v>78.84</v>
      </c>
      <c r="H388" s="51">
        <f>36214.62*1.2</f>
        <v>43457.544</v>
      </c>
      <c r="I388" s="51">
        <f>(36214.62-191.82)*1.2</f>
        <v>43227.36</v>
      </c>
      <c r="J388" s="51">
        <f>191.82*1.2</f>
        <v>230.184</v>
      </c>
      <c r="K388" s="18"/>
      <c r="L388" s="19"/>
      <c r="M388" s="18"/>
      <c r="N388" s="12"/>
    </row>
    <row r="389" spans="1:14" s="6" customFormat="1" ht="12.75">
      <c r="A389" s="50">
        <v>330</v>
      </c>
      <c r="B389" s="50" t="s">
        <v>238</v>
      </c>
      <c r="C389" s="51" t="s">
        <v>239</v>
      </c>
      <c r="D389" s="51" t="s">
        <v>81</v>
      </c>
      <c r="E389" s="52">
        <v>5.956</v>
      </c>
      <c r="F389" s="51">
        <f>(3051.4-3051.4)*1.2</f>
        <v>0</v>
      </c>
      <c r="G389" s="51">
        <f>3051.4*1.2</f>
        <v>3661.68</v>
      </c>
      <c r="H389" s="51">
        <f>18174.14*1.2</f>
        <v>21808.967999999997</v>
      </c>
      <c r="I389" s="51">
        <f>(18174.14-18174.14)*1.2</f>
        <v>0</v>
      </c>
      <c r="J389" s="51">
        <f>18174.14*1.2</f>
        <v>21808.967999999997</v>
      </c>
      <c r="K389" s="18"/>
      <c r="L389" s="19"/>
      <c r="M389" s="18"/>
      <c r="N389" s="12"/>
    </row>
    <row r="390" spans="1:14" s="6" customFormat="1" ht="140.25">
      <c r="A390" s="50">
        <v>331</v>
      </c>
      <c r="B390" s="50" t="s">
        <v>281</v>
      </c>
      <c r="C390" s="51" t="s">
        <v>383</v>
      </c>
      <c r="D390" s="51" t="s">
        <v>31</v>
      </c>
      <c r="E390" s="52">
        <v>2.9196</v>
      </c>
      <c r="F390" s="51">
        <f>(1008.03-0)*1.2</f>
        <v>1209.636</v>
      </c>
      <c r="G390" s="51">
        <f>0*1.2</f>
        <v>0</v>
      </c>
      <c r="H390" s="51">
        <f>2943.03*1.2</f>
        <v>3531.636</v>
      </c>
      <c r="I390" s="51">
        <f>(2943.03-0)*1.2</f>
        <v>3531.636</v>
      </c>
      <c r="J390" s="51">
        <f>0*1.2</f>
        <v>0</v>
      </c>
      <c r="K390" s="18"/>
      <c r="L390" s="19"/>
      <c r="M390" s="18"/>
      <c r="N390" s="12"/>
    </row>
    <row r="391" spans="1:14" s="6" customFormat="1" ht="12.75">
      <c r="A391" s="50">
        <v>332</v>
      </c>
      <c r="B391" s="50" t="s">
        <v>238</v>
      </c>
      <c r="C391" s="51" t="s">
        <v>239</v>
      </c>
      <c r="D391" s="51" t="s">
        <v>81</v>
      </c>
      <c r="E391" s="52">
        <v>5.956</v>
      </c>
      <c r="F391" s="51">
        <f>(3051.4-3051.4)*1.2</f>
        <v>0</v>
      </c>
      <c r="G391" s="51">
        <f>3051.4*1.2</f>
        <v>3661.68</v>
      </c>
      <c r="H391" s="51">
        <f>18174.14*1.2</f>
        <v>21808.967999999997</v>
      </c>
      <c r="I391" s="51">
        <f>(18174.14-18174.14)*1.2</f>
        <v>0</v>
      </c>
      <c r="J391" s="51">
        <f>18174.14*1.2</f>
        <v>21808.967999999997</v>
      </c>
      <c r="K391" s="18"/>
      <c r="L391" s="19"/>
      <c r="M391" s="18"/>
      <c r="N391" s="12"/>
    </row>
    <row r="392" spans="1:14" s="6" customFormat="1" ht="191.25">
      <c r="A392" s="50">
        <v>333</v>
      </c>
      <c r="B392" s="50" t="s">
        <v>298</v>
      </c>
      <c r="C392" s="51" t="s">
        <v>384</v>
      </c>
      <c r="D392" s="51" t="s">
        <v>31</v>
      </c>
      <c r="E392" s="52">
        <v>2.9196</v>
      </c>
      <c r="F392" s="51">
        <f>(75440.22-34259.24)*1.2</f>
        <v>49417.176</v>
      </c>
      <c r="G392" s="51">
        <f>34259.24*1.2</f>
        <v>41111.087999999996</v>
      </c>
      <c r="H392" s="51">
        <f>220255.28*1.2</f>
        <v>264306.336</v>
      </c>
      <c r="I392" s="51">
        <f>(220255.28-100023.28)*1.2</f>
        <v>144278.4</v>
      </c>
      <c r="J392" s="51">
        <f>100023.28*1.2</f>
        <v>120027.93599999999</v>
      </c>
      <c r="K392" s="18"/>
      <c r="L392" s="19"/>
      <c r="M392" s="18"/>
      <c r="N392" s="12"/>
    </row>
    <row r="393" spans="1:14" s="6" customFormat="1" ht="12.75">
      <c r="A393" s="50">
        <v>334</v>
      </c>
      <c r="B393" s="50" t="s">
        <v>300</v>
      </c>
      <c r="C393" s="51" t="s">
        <v>301</v>
      </c>
      <c r="D393" s="51" t="s">
        <v>41</v>
      </c>
      <c r="E393" s="52">
        <v>1314</v>
      </c>
      <c r="F393" s="51">
        <f>(7.71-7.71)*1.2</f>
        <v>0</v>
      </c>
      <c r="G393" s="51">
        <f>7.71*1.2</f>
        <v>9.251999999999999</v>
      </c>
      <c r="H393" s="51">
        <f>10130.94*1.2</f>
        <v>12157.128</v>
      </c>
      <c r="I393" s="51">
        <f>(10130.94-10130.94)*1.2</f>
        <v>0</v>
      </c>
      <c r="J393" s="51">
        <f>10130.94*1.2</f>
        <v>12157.128</v>
      </c>
      <c r="K393" s="18"/>
      <c r="L393" s="19"/>
      <c r="M393" s="18"/>
      <c r="N393" s="12"/>
    </row>
    <row r="394" spans="1:14" s="6" customFormat="1" ht="18" customHeight="1">
      <c r="A394" s="77" t="s">
        <v>317</v>
      </c>
      <c r="B394" s="78"/>
      <c r="C394" s="78"/>
      <c r="D394" s="78"/>
      <c r="E394" s="78"/>
      <c r="F394" s="78"/>
      <c r="G394" s="78"/>
      <c r="H394" s="78"/>
      <c r="I394" s="78"/>
      <c r="J394" s="78"/>
      <c r="K394" s="18"/>
      <c r="L394" s="19"/>
      <c r="M394" s="18"/>
      <c r="N394" s="12"/>
    </row>
    <row r="395" spans="1:14" s="6" customFormat="1" ht="140.25">
      <c r="A395" s="50">
        <v>335</v>
      </c>
      <c r="B395" s="50" t="s">
        <v>236</v>
      </c>
      <c r="C395" s="51" t="s">
        <v>385</v>
      </c>
      <c r="D395" s="51" t="s">
        <v>31</v>
      </c>
      <c r="E395" s="52">
        <v>1.583</v>
      </c>
      <c r="F395" s="51">
        <f>(12403.97-65.7)*1.2</f>
        <v>14805.923999999997</v>
      </c>
      <c r="G395" s="51">
        <f>65.7*1.2</f>
        <v>78.84</v>
      </c>
      <c r="H395" s="51">
        <f>19635.48*1.2</f>
        <v>23562.575999999997</v>
      </c>
      <c r="I395" s="51">
        <f>(19635.48-104)*1.2</f>
        <v>23437.775999999998</v>
      </c>
      <c r="J395" s="51">
        <f>104*1.2</f>
        <v>124.8</v>
      </c>
      <c r="K395" s="18"/>
      <c r="L395" s="19"/>
      <c r="M395" s="18"/>
      <c r="N395" s="12"/>
    </row>
    <row r="396" spans="1:14" s="6" customFormat="1" ht="12.75">
      <c r="A396" s="50">
        <v>336</v>
      </c>
      <c r="B396" s="50" t="s">
        <v>238</v>
      </c>
      <c r="C396" s="51" t="s">
        <v>239</v>
      </c>
      <c r="D396" s="51" t="s">
        <v>81</v>
      </c>
      <c r="E396" s="52">
        <v>3.229</v>
      </c>
      <c r="F396" s="51">
        <f>(3051.4-3051.4)*1.2</f>
        <v>0</v>
      </c>
      <c r="G396" s="51">
        <f>3051.4*1.2</f>
        <v>3661.68</v>
      </c>
      <c r="H396" s="51">
        <f>9852.97*1.2</f>
        <v>11823.563999999998</v>
      </c>
      <c r="I396" s="51">
        <f>(9852.97-9852.97)*1.2</f>
        <v>0</v>
      </c>
      <c r="J396" s="51">
        <f>9852.97*1.2</f>
        <v>11823.563999999998</v>
      </c>
      <c r="K396" s="18"/>
      <c r="L396" s="19"/>
      <c r="M396" s="18"/>
      <c r="N396" s="12"/>
    </row>
    <row r="397" spans="1:14" s="6" customFormat="1" ht="178.5">
      <c r="A397" s="50">
        <v>337</v>
      </c>
      <c r="B397" s="50" t="s">
        <v>240</v>
      </c>
      <c r="C397" s="51" t="s">
        <v>386</v>
      </c>
      <c r="D397" s="51" t="s">
        <v>81</v>
      </c>
      <c r="E397" s="52">
        <v>7.915</v>
      </c>
      <c r="F397" s="51">
        <f>(4017.79-752.57)*1.2</f>
        <v>3918.2639999999997</v>
      </c>
      <c r="G397" s="51">
        <f>752.57*1.2</f>
        <v>903.0840000000001</v>
      </c>
      <c r="H397" s="51">
        <f>31800.78*1.2</f>
        <v>38160.935999999994</v>
      </c>
      <c r="I397" s="51">
        <f>(31800.78-5956.59)*1.2</f>
        <v>31013.028</v>
      </c>
      <c r="J397" s="51">
        <f>5956.59*1.2</f>
        <v>7147.908</v>
      </c>
      <c r="K397" s="18"/>
      <c r="L397" s="19"/>
      <c r="M397" s="18"/>
      <c r="N397" s="12"/>
    </row>
    <row r="398" spans="1:14" s="6" customFormat="1" ht="12.75">
      <c r="A398" s="50">
        <v>338</v>
      </c>
      <c r="B398" s="50" t="s">
        <v>279</v>
      </c>
      <c r="C398" s="51" t="s">
        <v>280</v>
      </c>
      <c r="D398" s="51" t="s">
        <v>81</v>
      </c>
      <c r="E398" s="52">
        <v>7.836</v>
      </c>
      <c r="F398" s="51">
        <f>(2799.07-2799.07)*1.2</f>
        <v>0</v>
      </c>
      <c r="G398" s="51">
        <f>2799.07*1.2</f>
        <v>3358.884</v>
      </c>
      <c r="H398" s="51">
        <f>21933.51*1.2</f>
        <v>26320.211999999996</v>
      </c>
      <c r="I398" s="51">
        <f>(21933.51-21933.51)*1.2</f>
        <v>0</v>
      </c>
      <c r="J398" s="51">
        <f>21933.51*1.2</f>
        <v>26320.211999999996</v>
      </c>
      <c r="K398" s="18"/>
      <c r="L398" s="19"/>
      <c r="M398" s="18"/>
      <c r="N398" s="12"/>
    </row>
    <row r="399" spans="1:14" s="6" customFormat="1" ht="140.25">
      <c r="A399" s="50">
        <v>339</v>
      </c>
      <c r="B399" s="50" t="s">
        <v>236</v>
      </c>
      <c r="C399" s="51" t="s">
        <v>385</v>
      </c>
      <c r="D399" s="51" t="s">
        <v>31</v>
      </c>
      <c r="E399" s="52">
        <v>1.583</v>
      </c>
      <c r="F399" s="51">
        <f>(12403.97-65.7)*1.2</f>
        <v>14805.923999999997</v>
      </c>
      <c r="G399" s="51">
        <f>65.7*1.2</f>
        <v>78.84</v>
      </c>
      <c r="H399" s="51">
        <f>19635.48*1.2</f>
        <v>23562.575999999997</v>
      </c>
      <c r="I399" s="51">
        <f>(19635.48-104)*1.2</f>
        <v>23437.775999999998</v>
      </c>
      <c r="J399" s="51">
        <f>104*1.2</f>
        <v>124.8</v>
      </c>
      <c r="K399" s="18"/>
      <c r="L399" s="19"/>
      <c r="M399" s="18"/>
      <c r="N399" s="12"/>
    </row>
    <row r="400" spans="1:14" s="6" customFormat="1" ht="12.75">
      <c r="A400" s="50">
        <v>340</v>
      </c>
      <c r="B400" s="50" t="s">
        <v>238</v>
      </c>
      <c r="C400" s="51" t="s">
        <v>239</v>
      </c>
      <c r="D400" s="51" t="s">
        <v>81</v>
      </c>
      <c r="E400" s="52">
        <v>3.229</v>
      </c>
      <c r="F400" s="51">
        <f>(3051.4-3051.4)*1.2</f>
        <v>0</v>
      </c>
      <c r="G400" s="51">
        <f>3051.4*1.2</f>
        <v>3661.68</v>
      </c>
      <c r="H400" s="51">
        <f>9852.97*1.2</f>
        <v>11823.563999999998</v>
      </c>
      <c r="I400" s="51">
        <f>(9852.97-9852.97)*1.2</f>
        <v>0</v>
      </c>
      <c r="J400" s="51">
        <f>9852.97*1.2</f>
        <v>11823.563999999998</v>
      </c>
      <c r="K400" s="18"/>
      <c r="L400" s="19"/>
      <c r="M400" s="18"/>
      <c r="N400" s="12"/>
    </row>
    <row r="401" spans="1:14" s="6" customFormat="1" ht="140.25">
      <c r="A401" s="50">
        <v>341</v>
      </c>
      <c r="B401" s="50" t="s">
        <v>281</v>
      </c>
      <c r="C401" s="51" t="s">
        <v>387</v>
      </c>
      <c r="D401" s="51" t="s">
        <v>31</v>
      </c>
      <c r="E401" s="52">
        <v>1.583</v>
      </c>
      <c r="F401" s="51">
        <f>(1260.04-0)*1.2</f>
        <v>1512.048</v>
      </c>
      <c r="G401" s="51">
        <f>0*1.2</f>
        <v>0</v>
      </c>
      <c r="H401" s="51">
        <f>1994.65*1.2</f>
        <v>2393.58</v>
      </c>
      <c r="I401" s="51">
        <f>(1994.65-0)*1.2</f>
        <v>2393.58</v>
      </c>
      <c r="J401" s="51">
        <f>0*1.2</f>
        <v>0</v>
      </c>
      <c r="K401" s="18"/>
      <c r="L401" s="19"/>
      <c r="M401" s="18"/>
      <c r="N401" s="12"/>
    </row>
    <row r="402" spans="1:14" s="6" customFormat="1" ht="12.75">
      <c r="A402" s="50">
        <v>342</v>
      </c>
      <c r="B402" s="50" t="s">
        <v>238</v>
      </c>
      <c r="C402" s="51" t="s">
        <v>239</v>
      </c>
      <c r="D402" s="51" t="s">
        <v>81</v>
      </c>
      <c r="E402" s="52">
        <v>4.037</v>
      </c>
      <c r="F402" s="51">
        <f>(3051.4-3051.4)*1.2</f>
        <v>0</v>
      </c>
      <c r="G402" s="51">
        <f>3051.4*1.2</f>
        <v>3661.68</v>
      </c>
      <c r="H402" s="51">
        <f>12318.5*1.2</f>
        <v>14782.199999999999</v>
      </c>
      <c r="I402" s="51">
        <f>(12318.5-12318.5)*1.2</f>
        <v>0</v>
      </c>
      <c r="J402" s="51">
        <f>12318.5*1.2</f>
        <v>14782.199999999999</v>
      </c>
      <c r="K402" s="18"/>
      <c r="L402" s="19"/>
      <c r="M402" s="18"/>
      <c r="N402" s="12"/>
    </row>
    <row r="403" spans="1:14" s="6" customFormat="1" ht="191.25">
      <c r="A403" s="50">
        <v>343</v>
      </c>
      <c r="B403" s="50" t="s">
        <v>77</v>
      </c>
      <c r="C403" s="51" t="s">
        <v>388</v>
      </c>
      <c r="D403" s="51" t="s">
        <v>31</v>
      </c>
      <c r="E403" s="52">
        <v>1.583</v>
      </c>
      <c r="F403" s="51">
        <f>(152482.98-50378.79)*1.2</f>
        <v>122525.02799999999</v>
      </c>
      <c r="G403" s="51">
        <f>50378.79*1.2</f>
        <v>60454.547999999995</v>
      </c>
      <c r="H403" s="51">
        <f>241380.56*1.2</f>
        <v>289656.67199999996</v>
      </c>
      <c r="I403" s="51">
        <f>(241380.56-79749.62)*1.2</f>
        <v>193957.128</v>
      </c>
      <c r="J403" s="51">
        <f>79749.62*1.2</f>
        <v>95699.544</v>
      </c>
      <c r="K403" s="18"/>
      <c r="L403" s="19"/>
      <c r="M403" s="18"/>
      <c r="N403" s="12"/>
    </row>
    <row r="404" spans="1:14" s="6" customFormat="1" ht="12.75">
      <c r="A404" s="50">
        <v>344</v>
      </c>
      <c r="B404" s="50" t="s">
        <v>79</v>
      </c>
      <c r="C404" s="51" t="s">
        <v>80</v>
      </c>
      <c r="D404" s="51" t="s">
        <v>81</v>
      </c>
      <c r="E404" s="52">
        <v>0.0158</v>
      </c>
      <c r="F404" s="51">
        <f>(5241.14-5241.16)*1.2</f>
        <v>-0.023999999999432475</v>
      </c>
      <c r="G404" s="51">
        <f>5241.16*1.2</f>
        <v>6289.392</v>
      </c>
      <c r="H404" s="51">
        <f>82.81*1.2</f>
        <v>99.372</v>
      </c>
      <c r="I404" s="51">
        <f>(82.81-82.81)*1.2</f>
        <v>0</v>
      </c>
      <c r="J404" s="51">
        <f>82.81*1.2</f>
        <v>99.372</v>
      </c>
      <c r="K404" s="18"/>
      <c r="L404" s="19"/>
      <c r="M404" s="18"/>
      <c r="N404" s="12"/>
    </row>
    <row r="405" spans="1:14" s="6" customFormat="1" ht="12.75">
      <c r="A405" s="50">
        <v>345</v>
      </c>
      <c r="B405" s="50" t="s">
        <v>320</v>
      </c>
      <c r="C405" s="51" t="s">
        <v>321</v>
      </c>
      <c r="D405" s="51" t="s">
        <v>38</v>
      </c>
      <c r="E405" s="52">
        <v>0.020579</v>
      </c>
      <c r="F405" s="51">
        <f>(42514.21-42513.97)*1.2</f>
        <v>0.28799999999755527</v>
      </c>
      <c r="G405" s="51">
        <f>42513.97*1.2</f>
        <v>51016.764</v>
      </c>
      <c r="H405" s="51">
        <f>874.9*1.2</f>
        <v>1049.8799999999999</v>
      </c>
      <c r="I405" s="51">
        <f>(874.9-874.9)*1.2</f>
        <v>0</v>
      </c>
      <c r="J405" s="51">
        <f>874.9*1.2</f>
        <v>1049.8799999999999</v>
      </c>
      <c r="K405" s="18"/>
      <c r="L405" s="19"/>
      <c r="M405" s="18"/>
      <c r="N405" s="12"/>
    </row>
    <row r="406" spans="1:14" s="6" customFormat="1" ht="18" customHeight="1">
      <c r="A406" s="77" t="s">
        <v>322</v>
      </c>
      <c r="B406" s="78"/>
      <c r="C406" s="78"/>
      <c r="D406" s="78"/>
      <c r="E406" s="78"/>
      <c r="F406" s="78"/>
      <c r="G406" s="78"/>
      <c r="H406" s="78"/>
      <c r="I406" s="78"/>
      <c r="J406" s="78"/>
      <c r="K406" s="18"/>
      <c r="L406" s="19"/>
      <c r="M406" s="18"/>
      <c r="N406" s="12"/>
    </row>
    <row r="407" spans="1:14" s="6" customFormat="1" ht="140.25">
      <c r="A407" s="50">
        <v>346</v>
      </c>
      <c r="B407" s="50" t="s">
        <v>236</v>
      </c>
      <c r="C407" s="51" t="s">
        <v>389</v>
      </c>
      <c r="D407" s="51" t="s">
        <v>31</v>
      </c>
      <c r="E407" s="52">
        <v>0.2954</v>
      </c>
      <c r="F407" s="51">
        <f>(12403.99-65.7)*1.2</f>
        <v>14805.947999999999</v>
      </c>
      <c r="G407" s="51">
        <f>65.7*1.2</f>
        <v>78.84</v>
      </c>
      <c r="H407" s="51">
        <f>3664.14*1.2</f>
        <v>4396.968</v>
      </c>
      <c r="I407" s="51">
        <f>(3664.14-19.41)*1.2</f>
        <v>4373.6759999999995</v>
      </c>
      <c r="J407" s="51">
        <f>19.41*1.2</f>
        <v>23.291999999999998</v>
      </c>
      <c r="K407" s="18"/>
      <c r="L407" s="19"/>
      <c r="M407" s="18"/>
      <c r="N407" s="12"/>
    </row>
    <row r="408" spans="1:14" s="6" customFormat="1" ht="12.75">
      <c r="A408" s="50">
        <v>347</v>
      </c>
      <c r="B408" s="50" t="s">
        <v>238</v>
      </c>
      <c r="C408" s="51" t="s">
        <v>239</v>
      </c>
      <c r="D408" s="51" t="s">
        <v>81</v>
      </c>
      <c r="E408" s="52">
        <v>0.6026</v>
      </c>
      <c r="F408" s="51">
        <f>(3051.39-3051.4)*1.2</f>
        <v>-0.012000000000261935</v>
      </c>
      <c r="G408" s="51">
        <f>3051.4*1.2</f>
        <v>3661.68</v>
      </c>
      <c r="H408" s="51">
        <f>1838.77*1.2</f>
        <v>2206.524</v>
      </c>
      <c r="I408" s="51">
        <f>(1838.77-1838.77)*1.2</f>
        <v>0</v>
      </c>
      <c r="J408" s="51">
        <f>1838.77*1.2</f>
        <v>2206.524</v>
      </c>
      <c r="K408" s="18"/>
      <c r="L408" s="19"/>
      <c r="M408" s="18"/>
      <c r="N408" s="12"/>
    </row>
    <row r="409" spans="1:14" s="6" customFormat="1" ht="178.5">
      <c r="A409" s="50">
        <v>348</v>
      </c>
      <c r="B409" s="50" t="s">
        <v>240</v>
      </c>
      <c r="C409" s="51" t="s">
        <v>390</v>
      </c>
      <c r="D409" s="51" t="s">
        <v>81</v>
      </c>
      <c r="E409" s="52">
        <v>1.477</v>
      </c>
      <c r="F409" s="51">
        <f>(4017.79-752.57)*1.2</f>
        <v>3918.2639999999997</v>
      </c>
      <c r="G409" s="51">
        <f>752.57*1.2</f>
        <v>903.0840000000001</v>
      </c>
      <c r="H409" s="51">
        <f>5934.27*1.2</f>
        <v>7121.124000000001</v>
      </c>
      <c r="I409" s="51">
        <f>(5934.27-1111.55)*1.2</f>
        <v>5787.264</v>
      </c>
      <c r="J409" s="51">
        <f>1111.55*1.2</f>
        <v>1333.86</v>
      </c>
      <c r="K409" s="18"/>
      <c r="L409" s="19"/>
      <c r="M409" s="18"/>
      <c r="N409" s="12"/>
    </row>
    <row r="410" spans="1:14" s="6" customFormat="1" ht="12.75">
      <c r="A410" s="50">
        <v>349</v>
      </c>
      <c r="B410" s="50" t="s">
        <v>279</v>
      </c>
      <c r="C410" s="51" t="s">
        <v>280</v>
      </c>
      <c r="D410" s="51" t="s">
        <v>81</v>
      </c>
      <c r="E410" s="52">
        <v>1.462</v>
      </c>
      <c r="F410" s="51">
        <f>(2799.07-2799.07)*1.2</f>
        <v>0</v>
      </c>
      <c r="G410" s="51">
        <f>2799.07*1.2</f>
        <v>3358.884</v>
      </c>
      <c r="H410" s="51">
        <f>4092.24*1.2</f>
        <v>4910.687999999999</v>
      </c>
      <c r="I410" s="51">
        <f>(4092.24-4092.24)*1.2</f>
        <v>0</v>
      </c>
      <c r="J410" s="51">
        <f>4092.24*1.2</f>
        <v>4910.687999999999</v>
      </c>
      <c r="K410" s="18"/>
      <c r="L410" s="19"/>
      <c r="M410" s="18"/>
      <c r="N410" s="12"/>
    </row>
    <row r="411" spans="1:14" s="6" customFormat="1" ht="140.25">
      <c r="A411" s="50">
        <v>350</v>
      </c>
      <c r="B411" s="50" t="s">
        <v>236</v>
      </c>
      <c r="C411" s="51" t="s">
        <v>389</v>
      </c>
      <c r="D411" s="51" t="s">
        <v>31</v>
      </c>
      <c r="E411" s="52">
        <v>0.2954</v>
      </c>
      <c r="F411" s="51">
        <f>(12403.99-65.7)*1.2</f>
        <v>14805.947999999999</v>
      </c>
      <c r="G411" s="51">
        <f>65.7*1.2</f>
        <v>78.84</v>
      </c>
      <c r="H411" s="51">
        <f>3664.14*1.2</f>
        <v>4396.968</v>
      </c>
      <c r="I411" s="51">
        <f>(3664.14-19.41)*1.2</f>
        <v>4373.6759999999995</v>
      </c>
      <c r="J411" s="51">
        <f>19.41*1.2</f>
        <v>23.291999999999998</v>
      </c>
      <c r="K411" s="18"/>
      <c r="L411" s="19"/>
      <c r="M411" s="18"/>
      <c r="N411" s="12"/>
    </row>
    <row r="412" spans="1:14" s="6" customFormat="1" ht="12.75">
      <c r="A412" s="50">
        <v>351</v>
      </c>
      <c r="B412" s="50" t="s">
        <v>238</v>
      </c>
      <c r="C412" s="51" t="s">
        <v>239</v>
      </c>
      <c r="D412" s="51" t="s">
        <v>81</v>
      </c>
      <c r="E412" s="52">
        <v>0.6026</v>
      </c>
      <c r="F412" s="51">
        <f>(3051.39-3051.4)*1.2</f>
        <v>-0.012000000000261935</v>
      </c>
      <c r="G412" s="51">
        <f>3051.4*1.2</f>
        <v>3661.68</v>
      </c>
      <c r="H412" s="51">
        <f>1838.77*1.2</f>
        <v>2206.524</v>
      </c>
      <c r="I412" s="51">
        <f>(1838.77-1838.77)*1.2</f>
        <v>0</v>
      </c>
      <c r="J412" s="51">
        <f>1838.77*1.2</f>
        <v>2206.524</v>
      </c>
      <c r="K412" s="18"/>
      <c r="L412" s="19"/>
      <c r="M412" s="18"/>
      <c r="N412" s="12"/>
    </row>
    <row r="413" spans="1:14" s="6" customFormat="1" ht="140.25">
      <c r="A413" s="50">
        <v>352</v>
      </c>
      <c r="B413" s="50" t="s">
        <v>281</v>
      </c>
      <c r="C413" s="51" t="s">
        <v>391</v>
      </c>
      <c r="D413" s="51" t="s">
        <v>31</v>
      </c>
      <c r="E413" s="52">
        <v>0.2954</v>
      </c>
      <c r="F413" s="51">
        <f>(1360.83-0)*1.2</f>
        <v>1632.9959999999999</v>
      </c>
      <c r="G413" s="51">
        <f>0*1.2</f>
        <v>0</v>
      </c>
      <c r="H413" s="51">
        <f>401.99*1.2</f>
        <v>482.388</v>
      </c>
      <c r="I413" s="51">
        <f>(401.99-0)*1.2</f>
        <v>482.388</v>
      </c>
      <c r="J413" s="51">
        <f>0*1.2</f>
        <v>0</v>
      </c>
      <c r="K413" s="18"/>
      <c r="L413" s="19"/>
      <c r="M413" s="18"/>
      <c r="N413" s="12"/>
    </row>
    <row r="414" spans="1:14" s="6" customFormat="1" ht="12.75">
      <c r="A414" s="50">
        <v>353</v>
      </c>
      <c r="B414" s="50" t="s">
        <v>238</v>
      </c>
      <c r="C414" s="51" t="s">
        <v>239</v>
      </c>
      <c r="D414" s="51" t="s">
        <v>81</v>
      </c>
      <c r="E414" s="52">
        <v>0.8135</v>
      </c>
      <c r="F414" s="51">
        <f>(3051.4-3051.4)*1.2</f>
        <v>0</v>
      </c>
      <c r="G414" s="51">
        <f>3051.4*1.2</f>
        <v>3661.68</v>
      </c>
      <c r="H414" s="51">
        <f>2482.31*1.2</f>
        <v>2978.772</v>
      </c>
      <c r="I414" s="51">
        <f>(2482.31-2482.31)*1.2</f>
        <v>0</v>
      </c>
      <c r="J414" s="51">
        <f>2482.31*1.2</f>
        <v>2978.772</v>
      </c>
      <c r="K414" s="18"/>
      <c r="L414" s="19"/>
      <c r="M414" s="18"/>
      <c r="N414" s="12"/>
    </row>
    <row r="415" spans="1:14" s="6" customFormat="1" ht="191.25">
      <c r="A415" s="50">
        <v>354</v>
      </c>
      <c r="B415" s="50" t="s">
        <v>298</v>
      </c>
      <c r="C415" s="51" t="s">
        <v>392</v>
      </c>
      <c r="D415" s="51" t="s">
        <v>31</v>
      </c>
      <c r="E415" s="52">
        <v>0.2954</v>
      </c>
      <c r="F415" s="51">
        <f>(75440.25-34259.24)*1.2</f>
        <v>49417.212</v>
      </c>
      <c r="G415" s="51">
        <f>34259.24*1.2</f>
        <v>41111.087999999996</v>
      </c>
      <c r="H415" s="51">
        <f>22285.05*1.2</f>
        <v>26742.059999999998</v>
      </c>
      <c r="I415" s="51">
        <f>(22285.05-10120.18)*1.2</f>
        <v>14597.844</v>
      </c>
      <c r="J415" s="51">
        <f>10120.18*1.2</f>
        <v>12144.216</v>
      </c>
      <c r="K415" s="18"/>
      <c r="L415" s="19"/>
      <c r="M415" s="18"/>
      <c r="N415" s="12"/>
    </row>
    <row r="416" spans="1:14" s="6" customFormat="1" ht="12.75">
      <c r="A416" s="50">
        <v>355</v>
      </c>
      <c r="B416" s="50" t="s">
        <v>300</v>
      </c>
      <c r="C416" s="51" t="s">
        <v>301</v>
      </c>
      <c r="D416" s="51" t="s">
        <v>41</v>
      </c>
      <c r="E416" s="52">
        <v>132.9</v>
      </c>
      <c r="F416" s="51">
        <f>(7.71-7.71)*1.2</f>
        <v>0</v>
      </c>
      <c r="G416" s="51">
        <f>7.71*1.2</f>
        <v>9.251999999999999</v>
      </c>
      <c r="H416" s="51">
        <f>1024.66*1.2</f>
        <v>1229.592</v>
      </c>
      <c r="I416" s="51">
        <f>(1024.66-1024.66)*1.2</f>
        <v>0</v>
      </c>
      <c r="J416" s="51">
        <f>1024.66*1.2</f>
        <v>1229.592</v>
      </c>
      <c r="K416" s="18"/>
      <c r="L416" s="19"/>
      <c r="M416" s="18"/>
      <c r="N416" s="12"/>
    </row>
    <row r="417" spans="1:14" s="6" customFormat="1" ht="18" customHeight="1">
      <c r="A417" s="77" t="s">
        <v>327</v>
      </c>
      <c r="B417" s="78"/>
      <c r="C417" s="78"/>
      <c r="D417" s="78"/>
      <c r="E417" s="78"/>
      <c r="F417" s="78"/>
      <c r="G417" s="78"/>
      <c r="H417" s="78"/>
      <c r="I417" s="78"/>
      <c r="J417" s="78"/>
      <c r="K417" s="18"/>
      <c r="L417" s="19"/>
      <c r="M417" s="18"/>
      <c r="N417" s="12"/>
    </row>
    <row r="418" spans="1:14" s="6" customFormat="1" ht="140.25">
      <c r="A418" s="50">
        <v>356</v>
      </c>
      <c r="B418" s="50" t="s">
        <v>236</v>
      </c>
      <c r="C418" s="51" t="s">
        <v>393</v>
      </c>
      <c r="D418" s="51" t="s">
        <v>31</v>
      </c>
      <c r="E418" s="52">
        <v>4.0533</v>
      </c>
      <c r="F418" s="51">
        <f>(12403.97-65.7)*1.2</f>
        <v>14805.923999999997</v>
      </c>
      <c r="G418" s="51">
        <f>65.7*1.2</f>
        <v>78.84</v>
      </c>
      <c r="H418" s="51">
        <f>50277*1.2</f>
        <v>60332.399999999994</v>
      </c>
      <c r="I418" s="51">
        <f>(50277-266.3)*1.2</f>
        <v>60012.84</v>
      </c>
      <c r="J418" s="51">
        <f>266.3*1.2</f>
        <v>319.56</v>
      </c>
      <c r="K418" s="18"/>
      <c r="L418" s="19"/>
      <c r="M418" s="18"/>
      <c r="N418" s="12"/>
    </row>
    <row r="419" spans="1:14" s="6" customFormat="1" ht="12.75">
      <c r="A419" s="50">
        <v>357</v>
      </c>
      <c r="B419" s="50" t="s">
        <v>238</v>
      </c>
      <c r="C419" s="51" t="s">
        <v>239</v>
      </c>
      <c r="D419" s="51" t="s">
        <v>81</v>
      </c>
      <c r="E419" s="52">
        <v>8.269</v>
      </c>
      <c r="F419" s="51">
        <f>(3051.4-3051.4)*1.2</f>
        <v>0</v>
      </c>
      <c r="G419" s="51">
        <f>3051.4*1.2</f>
        <v>3661.68</v>
      </c>
      <c r="H419" s="51">
        <f>25232.03*1.2</f>
        <v>30278.435999999998</v>
      </c>
      <c r="I419" s="51">
        <f>(25232.03-25232.03)*1.2</f>
        <v>0</v>
      </c>
      <c r="J419" s="51">
        <f>25232.03*1.2</f>
        <v>30278.435999999998</v>
      </c>
      <c r="K419" s="18"/>
      <c r="L419" s="19"/>
      <c r="M419" s="18"/>
      <c r="N419" s="12"/>
    </row>
    <row r="420" spans="1:14" s="6" customFormat="1" ht="140.25">
      <c r="A420" s="50">
        <v>358</v>
      </c>
      <c r="B420" s="50" t="s">
        <v>329</v>
      </c>
      <c r="C420" s="51" t="s">
        <v>394</v>
      </c>
      <c r="D420" s="51" t="s">
        <v>31</v>
      </c>
      <c r="E420" s="52">
        <v>4.4493</v>
      </c>
      <c r="F420" s="51">
        <f>(2125.36-761.64)*1.2</f>
        <v>1636.4640000000002</v>
      </c>
      <c r="G420" s="51">
        <f>761.64*1.2</f>
        <v>913.968</v>
      </c>
      <c r="H420" s="51">
        <f>9456.36*1.2</f>
        <v>11347.632</v>
      </c>
      <c r="I420" s="51">
        <f>(9456.36-3388.77)*1.2</f>
        <v>7281.108</v>
      </c>
      <c r="J420" s="51">
        <f>3388.77*1.2</f>
        <v>4066.524</v>
      </c>
      <c r="K420" s="18"/>
      <c r="L420" s="19"/>
      <c r="M420" s="18"/>
      <c r="N420" s="12"/>
    </row>
    <row r="421" spans="1:14" s="6" customFormat="1" ht="25.5">
      <c r="A421" s="50">
        <v>359</v>
      </c>
      <c r="B421" s="50" t="s">
        <v>331</v>
      </c>
      <c r="C421" s="51" t="s">
        <v>332</v>
      </c>
      <c r="D421" s="51" t="s">
        <v>60</v>
      </c>
      <c r="E421" s="52">
        <v>458.3</v>
      </c>
      <c r="F421" s="51">
        <f>(42.93-42.93)*1.2</f>
        <v>0</v>
      </c>
      <c r="G421" s="51">
        <f>42.93*1.2</f>
        <v>51.516</v>
      </c>
      <c r="H421" s="51">
        <f>19674.82*1.2</f>
        <v>23609.784</v>
      </c>
      <c r="I421" s="51">
        <f>(19674.82-19674.82)*1.2</f>
        <v>0</v>
      </c>
      <c r="J421" s="51">
        <f>19674.82*1.2</f>
        <v>23609.784</v>
      </c>
      <c r="K421" s="18"/>
      <c r="L421" s="19"/>
      <c r="M421" s="18"/>
      <c r="N421" s="12"/>
    </row>
    <row r="422" spans="1:14" s="6" customFormat="1" ht="140.25">
      <c r="A422" s="50">
        <v>360</v>
      </c>
      <c r="B422" s="50" t="s">
        <v>236</v>
      </c>
      <c r="C422" s="51" t="s">
        <v>393</v>
      </c>
      <c r="D422" s="51" t="s">
        <v>31</v>
      </c>
      <c r="E422" s="52">
        <v>4.0533</v>
      </c>
      <c r="F422" s="51">
        <f>(12403.97-65.7)*1.2</f>
        <v>14805.923999999997</v>
      </c>
      <c r="G422" s="51">
        <f>65.7*1.2</f>
        <v>78.84</v>
      </c>
      <c r="H422" s="51">
        <f>50277*1.2</f>
        <v>60332.399999999994</v>
      </c>
      <c r="I422" s="51">
        <f>(50277-266.3)*1.2</f>
        <v>60012.84</v>
      </c>
      <c r="J422" s="51">
        <f>266.3*1.2</f>
        <v>319.56</v>
      </c>
      <c r="K422" s="18"/>
      <c r="L422" s="19"/>
      <c r="M422" s="18"/>
      <c r="N422" s="12"/>
    </row>
    <row r="423" spans="1:14" s="6" customFormat="1" ht="12.75">
      <c r="A423" s="50">
        <v>361</v>
      </c>
      <c r="B423" s="50" t="s">
        <v>238</v>
      </c>
      <c r="C423" s="51" t="s">
        <v>239</v>
      </c>
      <c r="D423" s="51" t="s">
        <v>81</v>
      </c>
      <c r="E423" s="52">
        <v>8.269</v>
      </c>
      <c r="F423" s="51">
        <f>(3051.4-3051.4)*1.2</f>
        <v>0</v>
      </c>
      <c r="G423" s="51">
        <f>3051.4*1.2</f>
        <v>3661.68</v>
      </c>
      <c r="H423" s="51">
        <f>25232.03*1.2</f>
        <v>30278.435999999998</v>
      </c>
      <c r="I423" s="51">
        <f>(25232.03-25232.03)*1.2</f>
        <v>0</v>
      </c>
      <c r="J423" s="51">
        <f>25232.03*1.2</f>
        <v>30278.435999999998</v>
      </c>
      <c r="K423" s="18"/>
      <c r="L423" s="19"/>
      <c r="M423" s="18"/>
      <c r="N423" s="12"/>
    </row>
    <row r="424" spans="1:14" s="6" customFormat="1" ht="140.25">
      <c r="A424" s="50">
        <v>362</v>
      </c>
      <c r="B424" s="50" t="s">
        <v>281</v>
      </c>
      <c r="C424" s="51" t="s">
        <v>395</v>
      </c>
      <c r="D424" s="51" t="s">
        <v>31</v>
      </c>
      <c r="E424" s="52">
        <v>4.0533</v>
      </c>
      <c r="F424" s="51">
        <f>(1008.03-0)*1.2</f>
        <v>1209.636</v>
      </c>
      <c r="G424" s="51">
        <f>0*1.2</f>
        <v>0</v>
      </c>
      <c r="H424" s="51">
        <f>4085.84*1.2</f>
        <v>4903.008</v>
      </c>
      <c r="I424" s="51">
        <f>(4085.84-0)*1.2</f>
        <v>4903.008</v>
      </c>
      <c r="J424" s="51">
        <f>0*1.2</f>
        <v>0</v>
      </c>
      <c r="K424" s="18"/>
      <c r="L424" s="19"/>
      <c r="M424" s="18"/>
      <c r="N424" s="12"/>
    </row>
    <row r="425" spans="1:14" s="6" customFormat="1" ht="12.75">
      <c r="A425" s="50">
        <v>363</v>
      </c>
      <c r="B425" s="50" t="s">
        <v>238</v>
      </c>
      <c r="C425" s="51" t="s">
        <v>239</v>
      </c>
      <c r="D425" s="51" t="s">
        <v>81</v>
      </c>
      <c r="E425" s="52">
        <v>8.269</v>
      </c>
      <c r="F425" s="51">
        <f>(3051.4-3051.4)*1.2</f>
        <v>0</v>
      </c>
      <c r="G425" s="51">
        <f>3051.4*1.2</f>
        <v>3661.68</v>
      </c>
      <c r="H425" s="51">
        <f>25232.03*1.2</f>
        <v>30278.435999999998</v>
      </c>
      <c r="I425" s="51">
        <f>(25232.03-25232.03)*1.2</f>
        <v>0</v>
      </c>
      <c r="J425" s="51">
        <f>25232.03*1.2</f>
        <v>30278.435999999998</v>
      </c>
      <c r="K425" s="18"/>
      <c r="L425" s="19"/>
      <c r="M425" s="18"/>
      <c r="N425" s="12"/>
    </row>
    <row r="426" spans="1:14" s="6" customFormat="1" ht="127.5">
      <c r="A426" s="50">
        <v>364</v>
      </c>
      <c r="B426" s="50" t="s">
        <v>283</v>
      </c>
      <c r="C426" s="51" t="s">
        <v>396</v>
      </c>
      <c r="D426" s="51" t="s">
        <v>31</v>
      </c>
      <c r="E426" s="52">
        <v>4.0533</v>
      </c>
      <c r="F426" s="51">
        <f>(13695.65-14.94)*1.2</f>
        <v>16416.852</v>
      </c>
      <c r="G426" s="51">
        <f>14.94*1.2</f>
        <v>17.927999999999997</v>
      </c>
      <c r="H426" s="51">
        <f>55512.58*1.2</f>
        <v>66615.096</v>
      </c>
      <c r="I426" s="51">
        <f>(55512.58-60.55)*1.2</f>
        <v>66542.436</v>
      </c>
      <c r="J426" s="51">
        <f>60.55*1.2</f>
        <v>72.66</v>
      </c>
      <c r="K426" s="18"/>
      <c r="L426" s="19"/>
      <c r="M426" s="18"/>
      <c r="N426" s="12"/>
    </row>
    <row r="427" spans="1:14" s="6" customFormat="1" ht="25.5">
      <c r="A427" s="50">
        <v>365</v>
      </c>
      <c r="B427" s="50" t="s">
        <v>285</v>
      </c>
      <c r="C427" s="51" t="s">
        <v>286</v>
      </c>
      <c r="D427" s="51" t="s">
        <v>60</v>
      </c>
      <c r="E427" s="52">
        <v>413.4</v>
      </c>
      <c r="F427" s="51">
        <f>(161.89-161.89)*1.2</f>
        <v>0</v>
      </c>
      <c r="G427" s="51">
        <f>161.89*1.2</f>
        <v>194.26799999999997</v>
      </c>
      <c r="H427" s="51">
        <f>66925.33*1.2</f>
        <v>80310.396</v>
      </c>
      <c r="I427" s="51">
        <f>(66925.33-66925.33)*1.2</f>
        <v>0</v>
      </c>
      <c r="J427" s="51">
        <f>66925.33*1.2</f>
        <v>80310.396</v>
      </c>
      <c r="K427" s="18"/>
      <c r="L427" s="19"/>
      <c r="M427" s="18"/>
      <c r="N427" s="12"/>
    </row>
    <row r="428" spans="1:14" s="6" customFormat="1" ht="12.75">
      <c r="A428" s="50">
        <v>366</v>
      </c>
      <c r="B428" s="50" t="s">
        <v>287</v>
      </c>
      <c r="C428" s="51" t="s">
        <v>288</v>
      </c>
      <c r="D428" s="51" t="s">
        <v>38</v>
      </c>
      <c r="E428" s="52">
        <v>0.2027</v>
      </c>
      <c r="F428" s="51">
        <f>(62855.35-62855.33)*1.2</f>
        <v>0.023999999996158292</v>
      </c>
      <c r="G428" s="51">
        <f>62855.33*1.2</f>
        <v>75426.396</v>
      </c>
      <c r="H428" s="51">
        <f>12740.78*1.2</f>
        <v>15288.936</v>
      </c>
      <c r="I428" s="51">
        <f>(12740.78-12740.78)*1.2</f>
        <v>0</v>
      </c>
      <c r="J428" s="51">
        <f>12740.78*1.2</f>
        <v>15288.936</v>
      </c>
      <c r="K428" s="18"/>
      <c r="L428" s="19"/>
      <c r="M428" s="18"/>
      <c r="N428" s="12"/>
    </row>
    <row r="429" spans="1:14" s="6" customFormat="1" ht="216.75">
      <c r="A429" s="50">
        <v>367</v>
      </c>
      <c r="B429" s="50" t="s">
        <v>261</v>
      </c>
      <c r="C429" s="51" t="s">
        <v>397</v>
      </c>
      <c r="D429" s="51" t="s">
        <v>131</v>
      </c>
      <c r="E429" s="52">
        <v>4.337</v>
      </c>
      <c r="F429" s="51">
        <f>(2517.39-200.14)*1.2</f>
        <v>2780.7</v>
      </c>
      <c r="G429" s="51">
        <f>200.14*1.2</f>
        <v>240.16799999999998</v>
      </c>
      <c r="H429" s="51">
        <f>10917.92*1.2</f>
        <v>13101.503999999999</v>
      </c>
      <c r="I429" s="51">
        <f>(10917.92-868.01)*1.2</f>
        <v>12059.892</v>
      </c>
      <c r="J429" s="51">
        <f>868.01*1.2</f>
        <v>1041.6119999999999</v>
      </c>
      <c r="K429" s="18"/>
      <c r="L429" s="19"/>
      <c r="M429" s="18"/>
      <c r="N429" s="12"/>
    </row>
    <row r="430" spans="1:14" s="6" customFormat="1" ht="12.75">
      <c r="A430" s="50">
        <v>368</v>
      </c>
      <c r="B430" s="50" t="s">
        <v>263</v>
      </c>
      <c r="C430" s="51" t="s">
        <v>264</v>
      </c>
      <c r="D430" s="51" t="s">
        <v>134</v>
      </c>
      <c r="E430" s="52">
        <v>438</v>
      </c>
      <c r="F430" s="51">
        <f>(7.87-7.87)*1.2</f>
        <v>0</v>
      </c>
      <c r="G430" s="51">
        <f>7.87*1.2</f>
        <v>9.443999999999999</v>
      </c>
      <c r="H430" s="51">
        <f>3447.06*1.2</f>
        <v>4136.472</v>
      </c>
      <c r="I430" s="51">
        <f>(3447.06-3447.06)*1.2</f>
        <v>0</v>
      </c>
      <c r="J430" s="51">
        <f>3447.06*1.2</f>
        <v>4136.472</v>
      </c>
      <c r="K430" s="18"/>
      <c r="L430" s="19"/>
      <c r="M430" s="18"/>
      <c r="N430" s="12"/>
    </row>
    <row r="431" spans="1:14" s="6" customFormat="1" ht="12.75">
      <c r="A431" s="50">
        <v>369</v>
      </c>
      <c r="B431" s="50" t="s">
        <v>265</v>
      </c>
      <c r="C431" s="51" t="s">
        <v>266</v>
      </c>
      <c r="D431" s="51" t="s">
        <v>267</v>
      </c>
      <c r="E431" s="52">
        <v>0.347</v>
      </c>
      <c r="F431" s="51">
        <f>(618.01-618)*1.2</f>
        <v>0.011999999999989085</v>
      </c>
      <c r="G431" s="51">
        <f>618*1.2</f>
        <v>741.6</v>
      </c>
      <c r="H431" s="51">
        <f>214.45*1.2</f>
        <v>257.34</v>
      </c>
      <c r="I431" s="51">
        <f>(214.45-214.45)*1.2</f>
        <v>0</v>
      </c>
      <c r="J431" s="51">
        <f>214.45*1.2</f>
        <v>257.34</v>
      </c>
      <c r="K431" s="18"/>
      <c r="L431" s="19"/>
      <c r="M431" s="18"/>
      <c r="N431" s="12"/>
    </row>
    <row r="432" spans="1:14" s="6" customFormat="1" ht="12.75">
      <c r="A432" s="50">
        <v>370</v>
      </c>
      <c r="B432" s="50" t="s">
        <v>268</v>
      </c>
      <c r="C432" s="51" t="s">
        <v>269</v>
      </c>
      <c r="D432" s="51" t="s">
        <v>267</v>
      </c>
      <c r="E432" s="52">
        <v>0.347</v>
      </c>
      <c r="F432" s="51">
        <f>(618.01-618)*1.2</f>
        <v>0.011999999999989085</v>
      </c>
      <c r="G432" s="51">
        <f>618*1.2</f>
        <v>741.6</v>
      </c>
      <c r="H432" s="51">
        <f>214.45*1.2</f>
        <v>257.34</v>
      </c>
      <c r="I432" s="51">
        <f>(214.45-214.45)*1.2</f>
        <v>0</v>
      </c>
      <c r="J432" s="51">
        <f>214.45*1.2</f>
        <v>257.34</v>
      </c>
      <c r="K432" s="18"/>
      <c r="L432" s="19"/>
      <c r="M432" s="18"/>
      <c r="N432" s="12"/>
    </row>
    <row r="433" spans="1:14" s="6" customFormat="1" ht="12.75">
      <c r="A433" s="50">
        <v>371</v>
      </c>
      <c r="B433" s="50" t="s">
        <v>270</v>
      </c>
      <c r="C433" s="51" t="s">
        <v>271</v>
      </c>
      <c r="D433" s="51" t="s">
        <v>267</v>
      </c>
      <c r="E433" s="52">
        <v>1.735</v>
      </c>
      <c r="F433" s="51">
        <f>(879-879)*1.2</f>
        <v>0</v>
      </c>
      <c r="G433" s="51">
        <f>879*1.2</f>
        <v>1054.8</v>
      </c>
      <c r="H433" s="51">
        <f>1525.07*1.2</f>
        <v>1830.0839999999998</v>
      </c>
      <c r="I433" s="51">
        <f>(1525.07-1525.07)*1.2</f>
        <v>0</v>
      </c>
      <c r="J433" s="51">
        <f>1525.07*1.2</f>
        <v>1830.0839999999998</v>
      </c>
      <c r="K433" s="18"/>
      <c r="L433" s="19"/>
      <c r="M433" s="18"/>
      <c r="N433" s="12"/>
    </row>
    <row r="434" spans="1:14" s="6" customFormat="1" ht="12.75">
      <c r="A434" s="50">
        <v>372</v>
      </c>
      <c r="B434" s="50" t="s">
        <v>272</v>
      </c>
      <c r="C434" s="51" t="s">
        <v>273</v>
      </c>
      <c r="D434" s="51" t="s">
        <v>267</v>
      </c>
      <c r="E434" s="52">
        <v>0.3036</v>
      </c>
      <c r="F434" s="51">
        <f>(792.98-793)*1.2</f>
        <v>-0.02399999999997817</v>
      </c>
      <c r="G434" s="51">
        <f>793*1.2</f>
        <v>951.5999999999999</v>
      </c>
      <c r="H434" s="51">
        <f>240.75*1.2</f>
        <v>288.9</v>
      </c>
      <c r="I434" s="51">
        <f>(240.75-240.75)*1.2</f>
        <v>0</v>
      </c>
      <c r="J434" s="51">
        <f>240.75*1.2</f>
        <v>288.9</v>
      </c>
      <c r="K434" s="18"/>
      <c r="L434" s="19"/>
      <c r="M434" s="18"/>
      <c r="N434" s="12"/>
    </row>
    <row r="435" spans="1:14" s="6" customFormat="1" ht="12.75">
      <c r="A435" s="50">
        <v>373</v>
      </c>
      <c r="B435" s="50" t="s">
        <v>274</v>
      </c>
      <c r="C435" s="51" t="s">
        <v>275</v>
      </c>
      <c r="D435" s="51" t="s">
        <v>267</v>
      </c>
      <c r="E435" s="52">
        <v>0.3036</v>
      </c>
      <c r="F435" s="51">
        <f>(792.98-793)*1.2</f>
        <v>-0.02399999999997817</v>
      </c>
      <c r="G435" s="51">
        <f>793*1.2</f>
        <v>951.5999999999999</v>
      </c>
      <c r="H435" s="51">
        <f>240.75*1.2</f>
        <v>288.9</v>
      </c>
      <c r="I435" s="51">
        <f>(240.75-240.75)*1.2</f>
        <v>0</v>
      </c>
      <c r="J435" s="51">
        <f>240.75*1.2</f>
        <v>288.9</v>
      </c>
      <c r="K435" s="18"/>
      <c r="L435" s="19"/>
      <c r="M435" s="18"/>
      <c r="N435" s="12"/>
    </row>
    <row r="436" spans="1:14" s="6" customFormat="1" ht="18" customHeight="1">
      <c r="A436" s="77" t="s">
        <v>336</v>
      </c>
      <c r="B436" s="78"/>
      <c r="C436" s="78"/>
      <c r="D436" s="78"/>
      <c r="E436" s="78"/>
      <c r="F436" s="78"/>
      <c r="G436" s="78"/>
      <c r="H436" s="78"/>
      <c r="I436" s="78"/>
      <c r="J436" s="78"/>
      <c r="K436" s="18"/>
      <c r="L436" s="19"/>
      <c r="M436" s="18"/>
      <c r="N436" s="12"/>
    </row>
    <row r="437" spans="1:14" s="6" customFormat="1" ht="140.25">
      <c r="A437" s="50">
        <v>374</v>
      </c>
      <c r="B437" s="50" t="s">
        <v>236</v>
      </c>
      <c r="C437" s="51" t="s">
        <v>398</v>
      </c>
      <c r="D437" s="51" t="s">
        <v>31</v>
      </c>
      <c r="E437" s="52">
        <v>0.0405</v>
      </c>
      <c r="F437" s="51">
        <f>(12403.95-65.7)*1.2</f>
        <v>14805.9</v>
      </c>
      <c r="G437" s="51">
        <f>65.7*1.2</f>
        <v>78.84</v>
      </c>
      <c r="H437" s="51">
        <f>502.36*1.2</f>
        <v>602.832</v>
      </c>
      <c r="I437" s="51">
        <f>(502.36-2.67)*1.2</f>
        <v>599.6279999999999</v>
      </c>
      <c r="J437" s="51">
        <f>2.67*1.2</f>
        <v>3.2039999999999997</v>
      </c>
      <c r="K437" s="18"/>
      <c r="L437" s="19"/>
      <c r="M437" s="18"/>
      <c r="N437" s="12"/>
    </row>
    <row r="438" spans="1:14" s="6" customFormat="1" ht="12.75">
      <c r="A438" s="50">
        <v>375</v>
      </c>
      <c r="B438" s="50" t="s">
        <v>238</v>
      </c>
      <c r="C438" s="51" t="s">
        <v>239</v>
      </c>
      <c r="D438" s="51" t="s">
        <v>81</v>
      </c>
      <c r="E438" s="52">
        <v>0.0826</v>
      </c>
      <c r="F438" s="51">
        <f>(3051.45-3051.4)*1.2</f>
        <v>0.05999999999967258</v>
      </c>
      <c r="G438" s="51">
        <f>3051.4*1.2</f>
        <v>3661.68</v>
      </c>
      <c r="H438" s="51">
        <f>252.05*1.2</f>
        <v>302.46</v>
      </c>
      <c r="I438" s="51">
        <f>(252.05-252.05)*1.2</f>
        <v>0</v>
      </c>
      <c r="J438" s="51">
        <f>252.05*1.2</f>
        <v>302.46</v>
      </c>
      <c r="K438" s="18"/>
      <c r="L438" s="19"/>
      <c r="M438" s="18"/>
      <c r="N438" s="12"/>
    </row>
    <row r="439" spans="1:14" s="6" customFormat="1" ht="178.5">
      <c r="A439" s="50">
        <v>376</v>
      </c>
      <c r="B439" s="50" t="s">
        <v>293</v>
      </c>
      <c r="C439" s="51" t="s">
        <v>399</v>
      </c>
      <c r="D439" s="51" t="s">
        <v>31</v>
      </c>
      <c r="E439" s="52">
        <v>0.0405</v>
      </c>
      <c r="F439" s="51">
        <f>(27138.02-14362.18)*1.2</f>
        <v>15331.008</v>
      </c>
      <c r="G439" s="51">
        <f>14362.18*1.2</f>
        <v>17234.615999999998</v>
      </c>
      <c r="H439" s="51">
        <f>1099.09*1.2</f>
        <v>1318.908</v>
      </c>
      <c r="I439" s="51">
        <f>(1099.09-581.67)*1.2</f>
        <v>620.9039999999999</v>
      </c>
      <c r="J439" s="51">
        <f>581.67*1.2</f>
        <v>698.0039999999999</v>
      </c>
      <c r="K439" s="18"/>
      <c r="L439" s="19"/>
      <c r="M439" s="18"/>
      <c r="N439" s="12"/>
    </row>
    <row r="440" spans="1:14" s="6" customFormat="1" ht="12.75">
      <c r="A440" s="50">
        <v>377</v>
      </c>
      <c r="B440" s="50" t="s">
        <v>295</v>
      </c>
      <c r="C440" s="51" t="s">
        <v>296</v>
      </c>
      <c r="D440" s="51" t="s">
        <v>60</v>
      </c>
      <c r="E440" s="52">
        <v>4.698</v>
      </c>
      <c r="F440" s="51">
        <f>(50.22-50.22)*1.2</f>
        <v>0</v>
      </c>
      <c r="G440" s="51">
        <f>50.22*1.2</f>
        <v>60.263999999999996</v>
      </c>
      <c r="H440" s="51">
        <f>235.93*1.2</f>
        <v>283.116</v>
      </c>
      <c r="I440" s="51">
        <f>(235.93-235.93)*1.2</f>
        <v>0</v>
      </c>
      <c r="J440" s="51">
        <f>235.93*1.2</f>
        <v>283.116</v>
      </c>
      <c r="K440" s="18"/>
      <c r="L440" s="19"/>
      <c r="M440" s="18"/>
      <c r="N440" s="12"/>
    </row>
    <row r="441" spans="1:14" s="6" customFormat="1" ht="140.25">
      <c r="A441" s="50">
        <v>378</v>
      </c>
      <c r="B441" s="50" t="s">
        <v>236</v>
      </c>
      <c r="C441" s="51" t="s">
        <v>398</v>
      </c>
      <c r="D441" s="51" t="s">
        <v>31</v>
      </c>
      <c r="E441" s="52">
        <v>0.0405</v>
      </c>
      <c r="F441" s="51">
        <f>(12403.95-65.7)*1.2</f>
        <v>14805.9</v>
      </c>
      <c r="G441" s="51">
        <f>65.7*1.2</f>
        <v>78.84</v>
      </c>
      <c r="H441" s="51">
        <f>502.36*1.2</f>
        <v>602.832</v>
      </c>
      <c r="I441" s="51">
        <f>(502.36-2.67)*1.2</f>
        <v>599.6279999999999</v>
      </c>
      <c r="J441" s="51">
        <f>2.67*1.2</f>
        <v>3.2039999999999997</v>
      </c>
      <c r="K441" s="18"/>
      <c r="L441" s="19"/>
      <c r="M441" s="18"/>
      <c r="N441" s="12"/>
    </row>
    <row r="442" spans="1:14" s="6" customFormat="1" ht="12.75">
      <c r="A442" s="50">
        <v>379</v>
      </c>
      <c r="B442" s="50" t="s">
        <v>238</v>
      </c>
      <c r="C442" s="51" t="s">
        <v>239</v>
      </c>
      <c r="D442" s="51" t="s">
        <v>81</v>
      </c>
      <c r="E442" s="52">
        <v>0.0826</v>
      </c>
      <c r="F442" s="51">
        <f>(3051.45-3051.4)*1.2</f>
        <v>0.05999999999967258</v>
      </c>
      <c r="G442" s="51">
        <f>3051.4*1.2</f>
        <v>3661.68</v>
      </c>
      <c r="H442" s="51">
        <f>252.05*1.2</f>
        <v>302.46</v>
      </c>
      <c r="I442" s="51">
        <f>(252.05-252.05)*1.2</f>
        <v>0</v>
      </c>
      <c r="J442" s="51">
        <f>252.05*1.2</f>
        <v>302.46</v>
      </c>
      <c r="K442" s="18"/>
      <c r="L442" s="19"/>
      <c r="M442" s="18"/>
      <c r="N442" s="12"/>
    </row>
    <row r="443" spans="1:14" s="6" customFormat="1" ht="140.25">
      <c r="A443" s="50">
        <v>380</v>
      </c>
      <c r="B443" s="50" t="s">
        <v>281</v>
      </c>
      <c r="C443" s="51" t="s">
        <v>400</v>
      </c>
      <c r="D443" s="51" t="s">
        <v>31</v>
      </c>
      <c r="E443" s="52">
        <v>0.0405</v>
      </c>
      <c r="F443" s="51">
        <f>(1008.4-0)*1.2</f>
        <v>1210.08</v>
      </c>
      <c r="G443" s="51">
        <f>0*1.2</f>
        <v>0</v>
      </c>
      <c r="H443" s="51">
        <f>40.84*1.2</f>
        <v>49.008</v>
      </c>
      <c r="I443" s="51">
        <f>(40.84-0)*1.2</f>
        <v>49.008</v>
      </c>
      <c r="J443" s="51">
        <f>0*1.2</f>
        <v>0</v>
      </c>
      <c r="K443" s="18"/>
      <c r="L443" s="19"/>
      <c r="M443" s="18"/>
      <c r="N443" s="12"/>
    </row>
    <row r="444" spans="1:14" s="6" customFormat="1" ht="12.75">
      <c r="A444" s="50">
        <v>381</v>
      </c>
      <c r="B444" s="50" t="s">
        <v>238</v>
      </c>
      <c r="C444" s="51" t="s">
        <v>239</v>
      </c>
      <c r="D444" s="51" t="s">
        <v>81</v>
      </c>
      <c r="E444" s="52">
        <v>0.0826</v>
      </c>
      <c r="F444" s="51">
        <f>(3051.45-3051.4)*1.2</f>
        <v>0.05999999999967258</v>
      </c>
      <c r="G444" s="51">
        <f>3051.4*1.2</f>
        <v>3661.68</v>
      </c>
      <c r="H444" s="51">
        <f>252.05*1.2</f>
        <v>302.46</v>
      </c>
      <c r="I444" s="51">
        <f>(252.05-252.05)*1.2</f>
        <v>0</v>
      </c>
      <c r="J444" s="51">
        <f>252.05*1.2</f>
        <v>302.46</v>
      </c>
      <c r="K444" s="18"/>
      <c r="L444" s="19"/>
      <c r="M444" s="18"/>
      <c r="N444" s="12"/>
    </row>
    <row r="445" spans="1:14" s="6" customFormat="1" ht="191.25">
      <c r="A445" s="50">
        <v>382</v>
      </c>
      <c r="B445" s="50" t="s">
        <v>298</v>
      </c>
      <c r="C445" s="51" t="s">
        <v>401</v>
      </c>
      <c r="D445" s="51" t="s">
        <v>31</v>
      </c>
      <c r="E445" s="52">
        <v>0.0405</v>
      </c>
      <c r="F445" s="51">
        <f>(75440.49-34259.24)*1.2</f>
        <v>49417.50000000001</v>
      </c>
      <c r="G445" s="51">
        <f>34259.24*1.2</f>
        <v>41111.087999999996</v>
      </c>
      <c r="H445" s="51">
        <f>3055.34*1.2</f>
        <v>3666.408</v>
      </c>
      <c r="I445" s="51">
        <f>(3055.34-1387.5)*1.2</f>
        <v>2001.4080000000001</v>
      </c>
      <c r="J445" s="51">
        <f>1387.5*1.2</f>
        <v>1665</v>
      </c>
      <c r="K445" s="18"/>
      <c r="L445" s="19"/>
      <c r="M445" s="18"/>
      <c r="N445" s="12"/>
    </row>
    <row r="446" spans="1:14" s="6" customFormat="1" ht="12.75">
      <c r="A446" s="50">
        <v>383</v>
      </c>
      <c r="B446" s="50" t="s">
        <v>300</v>
      </c>
      <c r="C446" s="51" t="s">
        <v>301</v>
      </c>
      <c r="D446" s="51" t="s">
        <v>41</v>
      </c>
      <c r="E446" s="52">
        <v>18.23</v>
      </c>
      <c r="F446" s="51">
        <f>(7.71-7.71)*1.2</f>
        <v>0</v>
      </c>
      <c r="G446" s="51">
        <f>7.71*1.2</f>
        <v>9.251999999999999</v>
      </c>
      <c r="H446" s="51">
        <f>140.55*1.2</f>
        <v>168.66</v>
      </c>
      <c r="I446" s="51">
        <f>(140.55-140.55)*1.2</f>
        <v>0</v>
      </c>
      <c r="J446" s="51">
        <f>140.55*1.2</f>
        <v>168.66</v>
      </c>
      <c r="K446" s="18"/>
      <c r="L446" s="19"/>
      <c r="M446" s="18"/>
      <c r="N446" s="12"/>
    </row>
    <row r="447" spans="1:14" s="6" customFormat="1" ht="18" customHeight="1">
      <c r="A447" s="77" t="s">
        <v>341</v>
      </c>
      <c r="B447" s="78"/>
      <c r="C447" s="78"/>
      <c r="D447" s="78"/>
      <c r="E447" s="78"/>
      <c r="F447" s="78"/>
      <c r="G447" s="78"/>
      <c r="H447" s="78"/>
      <c r="I447" s="78"/>
      <c r="J447" s="78"/>
      <c r="K447" s="18"/>
      <c r="L447" s="19"/>
      <c r="M447" s="18"/>
      <c r="N447" s="12"/>
    </row>
    <row r="448" spans="1:14" s="6" customFormat="1" ht="140.25">
      <c r="A448" s="50">
        <v>384</v>
      </c>
      <c r="B448" s="50" t="s">
        <v>236</v>
      </c>
      <c r="C448" s="51" t="s">
        <v>402</v>
      </c>
      <c r="D448" s="51" t="s">
        <v>31</v>
      </c>
      <c r="E448" s="52">
        <v>0.9454</v>
      </c>
      <c r="F448" s="51">
        <f>(12403.97-65.7)*1.2</f>
        <v>14805.923999999997</v>
      </c>
      <c r="G448" s="51">
        <f>65.7*1.2</f>
        <v>78.84</v>
      </c>
      <c r="H448" s="51">
        <f>11726.71*1.2</f>
        <v>14072.051999999998</v>
      </c>
      <c r="I448" s="51">
        <f>(11726.71-62.12)*1.2</f>
        <v>13997.507999999998</v>
      </c>
      <c r="J448" s="51">
        <f>62.12*1.2</f>
        <v>74.544</v>
      </c>
      <c r="K448" s="18"/>
      <c r="L448" s="19"/>
      <c r="M448" s="18"/>
      <c r="N448" s="12"/>
    </row>
    <row r="449" spans="1:14" s="6" customFormat="1" ht="12.75">
      <c r="A449" s="50">
        <v>385</v>
      </c>
      <c r="B449" s="50" t="s">
        <v>238</v>
      </c>
      <c r="C449" s="51" t="s">
        <v>239</v>
      </c>
      <c r="D449" s="51" t="s">
        <v>81</v>
      </c>
      <c r="E449" s="52">
        <v>1.929</v>
      </c>
      <c r="F449" s="51">
        <f>(3051.4-3051.4)*1.2</f>
        <v>0</v>
      </c>
      <c r="G449" s="51">
        <f>3051.4*1.2</f>
        <v>3661.68</v>
      </c>
      <c r="H449" s="51">
        <f>5886.15*1.2</f>
        <v>7063.379999999999</v>
      </c>
      <c r="I449" s="51">
        <f>(5886.15-5886.15)*1.2</f>
        <v>0</v>
      </c>
      <c r="J449" s="51">
        <f>5886.15*1.2</f>
        <v>7063.379999999999</v>
      </c>
      <c r="K449" s="18"/>
      <c r="L449" s="19"/>
      <c r="M449" s="18"/>
      <c r="N449" s="12"/>
    </row>
    <row r="450" spans="1:14" s="6" customFormat="1" ht="140.25">
      <c r="A450" s="50">
        <v>386</v>
      </c>
      <c r="B450" s="50" t="s">
        <v>281</v>
      </c>
      <c r="C450" s="51" t="s">
        <v>403</v>
      </c>
      <c r="D450" s="51" t="s">
        <v>31</v>
      </c>
      <c r="E450" s="52">
        <v>0.9454</v>
      </c>
      <c r="F450" s="51">
        <f>(1915.27-0)*1.2</f>
        <v>2298.324</v>
      </c>
      <c r="G450" s="51">
        <f>0*1.2</f>
        <v>0</v>
      </c>
      <c r="H450" s="51">
        <f>1810.7*1.2</f>
        <v>2172.84</v>
      </c>
      <c r="I450" s="51">
        <f>(1810.7-0)*1.2</f>
        <v>2172.84</v>
      </c>
      <c r="J450" s="51">
        <f>0*1.2</f>
        <v>0</v>
      </c>
      <c r="K450" s="18"/>
      <c r="L450" s="19"/>
      <c r="M450" s="18"/>
      <c r="N450" s="12"/>
    </row>
    <row r="451" spans="1:14" s="6" customFormat="1" ht="12.75">
      <c r="A451" s="50">
        <v>387</v>
      </c>
      <c r="B451" s="50" t="s">
        <v>238</v>
      </c>
      <c r="C451" s="51" t="s">
        <v>239</v>
      </c>
      <c r="D451" s="51" t="s">
        <v>81</v>
      </c>
      <c r="E451" s="52">
        <v>3.664</v>
      </c>
      <c r="F451" s="51">
        <f>(3051.4-3051.4)*1.2</f>
        <v>0</v>
      </c>
      <c r="G451" s="51">
        <f>3051.4*1.2</f>
        <v>3661.68</v>
      </c>
      <c r="H451" s="51">
        <f>11180.33*1.2</f>
        <v>13416.395999999999</v>
      </c>
      <c r="I451" s="51">
        <f>(11180.33-11180.33)*1.2</f>
        <v>0</v>
      </c>
      <c r="J451" s="51">
        <f>11180.33*1.2</f>
        <v>13416.395999999999</v>
      </c>
      <c r="K451" s="18"/>
      <c r="L451" s="19"/>
      <c r="M451" s="18"/>
      <c r="N451" s="12"/>
    </row>
    <row r="452" spans="1:14" s="6" customFormat="1" ht="191.25">
      <c r="A452" s="50">
        <v>388</v>
      </c>
      <c r="B452" s="50" t="s">
        <v>77</v>
      </c>
      <c r="C452" s="51" t="s">
        <v>404</v>
      </c>
      <c r="D452" s="51" t="s">
        <v>31</v>
      </c>
      <c r="E452" s="52">
        <v>0.9454</v>
      </c>
      <c r="F452" s="51">
        <f>(152482.98-50378.79)*1.2</f>
        <v>122525.02799999999</v>
      </c>
      <c r="G452" s="51">
        <f>50378.79*1.2</f>
        <v>60454.547999999995</v>
      </c>
      <c r="H452" s="51">
        <f>144157.41*1.2</f>
        <v>172988.892</v>
      </c>
      <c r="I452" s="51">
        <f>(144157.41-47628.11)*1.2</f>
        <v>115835.16</v>
      </c>
      <c r="J452" s="51">
        <f>47628.11*1.2</f>
        <v>57153.731999999996</v>
      </c>
      <c r="K452" s="18"/>
      <c r="L452" s="19"/>
      <c r="M452" s="18"/>
      <c r="N452" s="12"/>
    </row>
    <row r="453" spans="1:14" s="6" customFormat="1" ht="12.75">
      <c r="A453" s="50">
        <v>389</v>
      </c>
      <c r="B453" s="50" t="s">
        <v>79</v>
      </c>
      <c r="C453" s="51" t="s">
        <v>80</v>
      </c>
      <c r="D453" s="51" t="s">
        <v>81</v>
      </c>
      <c r="E453" s="52">
        <v>0.0095</v>
      </c>
      <c r="F453" s="51">
        <f>(5241.05-5241.16)*1.2</f>
        <v>-0.1319999999996071</v>
      </c>
      <c r="G453" s="51">
        <f>5241.16*1.2</f>
        <v>6289.392</v>
      </c>
      <c r="H453" s="51">
        <f>49.79*1.2</f>
        <v>59.748</v>
      </c>
      <c r="I453" s="51">
        <f>(49.79-49.79)*1.2</f>
        <v>0</v>
      </c>
      <c r="J453" s="51">
        <f>49.79*1.2</f>
        <v>59.748</v>
      </c>
      <c r="K453" s="18"/>
      <c r="L453" s="19"/>
      <c r="M453" s="18"/>
      <c r="N453" s="12"/>
    </row>
    <row r="454" spans="1:14" s="6" customFormat="1" ht="12.75">
      <c r="A454" s="50">
        <v>390</v>
      </c>
      <c r="B454" s="50" t="s">
        <v>320</v>
      </c>
      <c r="C454" s="51" t="s">
        <v>321</v>
      </c>
      <c r="D454" s="51" t="s">
        <v>38</v>
      </c>
      <c r="E454" s="52">
        <v>0.01229</v>
      </c>
      <c r="F454" s="51">
        <f>(42514.24-42513.97)*1.2</f>
        <v>0.3239999999961583</v>
      </c>
      <c r="G454" s="51">
        <f>42513.97*1.2</f>
        <v>51016.764</v>
      </c>
      <c r="H454" s="51">
        <f>522.5*1.2</f>
        <v>627</v>
      </c>
      <c r="I454" s="51">
        <f>(522.5-522.5)*1.2</f>
        <v>0</v>
      </c>
      <c r="J454" s="51">
        <f>522.5*1.2</f>
        <v>627</v>
      </c>
      <c r="K454" s="18"/>
      <c r="L454" s="19"/>
      <c r="M454" s="18"/>
      <c r="N454" s="12"/>
    </row>
    <row r="455" spans="1:14" s="6" customFormat="1" ht="18" customHeight="1">
      <c r="A455" s="77" t="s">
        <v>345</v>
      </c>
      <c r="B455" s="78"/>
      <c r="C455" s="78"/>
      <c r="D455" s="78"/>
      <c r="E455" s="78"/>
      <c r="F455" s="78"/>
      <c r="G455" s="78"/>
      <c r="H455" s="78"/>
      <c r="I455" s="78"/>
      <c r="J455" s="78"/>
      <c r="K455" s="18"/>
      <c r="L455" s="19"/>
      <c r="M455" s="18"/>
      <c r="N455" s="12"/>
    </row>
    <row r="456" spans="1:14" s="6" customFormat="1" ht="140.25">
      <c r="A456" s="50">
        <v>391</v>
      </c>
      <c r="B456" s="50" t="s">
        <v>236</v>
      </c>
      <c r="C456" s="51" t="s">
        <v>405</v>
      </c>
      <c r="D456" s="51" t="s">
        <v>31</v>
      </c>
      <c r="E456" s="52">
        <v>0.0835</v>
      </c>
      <c r="F456" s="51">
        <f>(12403.95-65.7)*1.2</f>
        <v>14805.9</v>
      </c>
      <c r="G456" s="51">
        <f>65.7*1.2</f>
        <v>78.84</v>
      </c>
      <c r="H456" s="51">
        <f>1035.73*1.2</f>
        <v>1242.876</v>
      </c>
      <c r="I456" s="51">
        <f>(1035.73-5.48)*1.2</f>
        <v>1236.3</v>
      </c>
      <c r="J456" s="51">
        <f>5.48*1.2</f>
        <v>6.5760000000000005</v>
      </c>
      <c r="K456" s="18"/>
      <c r="L456" s="19"/>
      <c r="M456" s="18"/>
      <c r="N456" s="12"/>
    </row>
    <row r="457" spans="1:14" s="6" customFormat="1" ht="12.75">
      <c r="A457" s="50">
        <v>392</v>
      </c>
      <c r="B457" s="50" t="s">
        <v>238</v>
      </c>
      <c r="C457" s="51" t="s">
        <v>239</v>
      </c>
      <c r="D457" s="51" t="s">
        <v>81</v>
      </c>
      <c r="E457" s="52">
        <v>0.1703</v>
      </c>
      <c r="F457" s="51">
        <f>(3051.38-3051.4)*1.2</f>
        <v>-0.02399999999997817</v>
      </c>
      <c r="G457" s="51">
        <f>3051.4*1.2</f>
        <v>3661.68</v>
      </c>
      <c r="H457" s="51">
        <f>519.65*1.2</f>
        <v>623.5799999999999</v>
      </c>
      <c r="I457" s="51">
        <f>(519.65-519.65)*1.2</f>
        <v>0</v>
      </c>
      <c r="J457" s="51">
        <f>519.65*1.2</f>
        <v>623.5799999999999</v>
      </c>
      <c r="K457" s="18"/>
      <c r="L457" s="19"/>
      <c r="M457" s="18"/>
      <c r="N457" s="12"/>
    </row>
    <row r="458" spans="1:14" s="6" customFormat="1" ht="140.25">
      <c r="A458" s="50">
        <v>393</v>
      </c>
      <c r="B458" s="50" t="s">
        <v>281</v>
      </c>
      <c r="C458" s="51" t="s">
        <v>406</v>
      </c>
      <c r="D458" s="51" t="s">
        <v>31</v>
      </c>
      <c r="E458" s="52">
        <v>0.0821</v>
      </c>
      <c r="F458" s="51">
        <f>(2016.08-0)*1.2</f>
        <v>2419.296</v>
      </c>
      <c r="G458" s="51">
        <f>0*1.2</f>
        <v>0</v>
      </c>
      <c r="H458" s="51">
        <f>165.52*1.2</f>
        <v>198.624</v>
      </c>
      <c r="I458" s="51">
        <f>(165.52-0)*1.2</f>
        <v>198.624</v>
      </c>
      <c r="J458" s="51">
        <f>0*1.2</f>
        <v>0</v>
      </c>
      <c r="K458" s="18"/>
      <c r="L458" s="19"/>
      <c r="M458" s="18"/>
      <c r="N458" s="12"/>
    </row>
    <row r="459" spans="1:14" s="6" customFormat="1" ht="12.75">
      <c r="A459" s="50">
        <v>394</v>
      </c>
      <c r="B459" s="50" t="s">
        <v>238</v>
      </c>
      <c r="C459" s="51" t="s">
        <v>239</v>
      </c>
      <c r="D459" s="51" t="s">
        <v>81</v>
      </c>
      <c r="E459" s="52">
        <v>0.335</v>
      </c>
      <c r="F459" s="51">
        <f>(3051.4-3051.4)*1.2</f>
        <v>0</v>
      </c>
      <c r="G459" s="51">
        <f>3051.4*1.2</f>
        <v>3661.68</v>
      </c>
      <c r="H459" s="51">
        <f>1022.22*1.2</f>
        <v>1226.664</v>
      </c>
      <c r="I459" s="51">
        <f>(1022.22-1022.22)*1.2</f>
        <v>0</v>
      </c>
      <c r="J459" s="51">
        <f>1022.22*1.2</f>
        <v>1226.664</v>
      </c>
      <c r="K459" s="18"/>
      <c r="L459" s="19"/>
      <c r="M459" s="18"/>
      <c r="N459" s="12"/>
    </row>
    <row r="460" spans="1:14" s="6" customFormat="1" ht="191.25">
      <c r="A460" s="50">
        <v>395</v>
      </c>
      <c r="B460" s="50" t="s">
        <v>298</v>
      </c>
      <c r="C460" s="51" t="s">
        <v>407</v>
      </c>
      <c r="D460" s="51" t="s">
        <v>31</v>
      </c>
      <c r="E460" s="52">
        <v>0.0821</v>
      </c>
      <c r="F460" s="51">
        <f>(75440.07-34259.24)*1.2</f>
        <v>49416.99600000001</v>
      </c>
      <c r="G460" s="51">
        <f>34259.24*1.2</f>
        <v>41111.087999999996</v>
      </c>
      <c r="H460" s="51">
        <f>6193.63*1.2</f>
        <v>7432.356</v>
      </c>
      <c r="I460" s="51">
        <f>(6193.63-2812.68)*1.2</f>
        <v>4057.1400000000003</v>
      </c>
      <c r="J460" s="51">
        <f>2812.68*1.2</f>
        <v>3375.216</v>
      </c>
      <c r="K460" s="18"/>
      <c r="L460" s="19"/>
      <c r="M460" s="18"/>
      <c r="N460" s="12"/>
    </row>
    <row r="461" spans="1:14" s="6" customFormat="1" ht="12.75">
      <c r="A461" s="50">
        <v>396</v>
      </c>
      <c r="B461" s="50" t="s">
        <v>300</v>
      </c>
      <c r="C461" s="51" t="s">
        <v>301</v>
      </c>
      <c r="D461" s="51" t="s">
        <v>41</v>
      </c>
      <c r="E461" s="52">
        <v>36.95</v>
      </c>
      <c r="F461" s="51">
        <f>(7.71-7.71)*1.2</f>
        <v>0</v>
      </c>
      <c r="G461" s="51">
        <f>7.71*1.2</f>
        <v>9.251999999999999</v>
      </c>
      <c r="H461" s="51">
        <f>284.88*1.2</f>
        <v>341.856</v>
      </c>
      <c r="I461" s="51">
        <f>(284.88-284.88)*1.2</f>
        <v>0</v>
      </c>
      <c r="J461" s="51">
        <f>284.88*1.2</f>
        <v>341.856</v>
      </c>
      <c r="K461" s="18"/>
      <c r="L461" s="19"/>
      <c r="M461" s="18"/>
      <c r="N461" s="12"/>
    </row>
    <row r="462" spans="1:14" s="6" customFormat="1" ht="18" customHeight="1">
      <c r="A462" s="77" t="s">
        <v>349</v>
      </c>
      <c r="B462" s="78"/>
      <c r="C462" s="78"/>
      <c r="D462" s="78"/>
      <c r="E462" s="78"/>
      <c r="F462" s="78"/>
      <c r="G462" s="78"/>
      <c r="H462" s="78"/>
      <c r="I462" s="78"/>
      <c r="J462" s="78"/>
      <c r="K462" s="18"/>
      <c r="L462" s="19"/>
      <c r="M462" s="18"/>
      <c r="N462" s="12"/>
    </row>
    <row r="463" spans="1:14" s="6" customFormat="1" ht="140.25">
      <c r="A463" s="50">
        <v>397</v>
      </c>
      <c r="B463" s="50" t="s">
        <v>236</v>
      </c>
      <c r="C463" s="51" t="s">
        <v>408</v>
      </c>
      <c r="D463" s="51" t="s">
        <v>31</v>
      </c>
      <c r="E463" s="52">
        <v>0.9827</v>
      </c>
      <c r="F463" s="51">
        <f>(12403.98-65.7)*1.2</f>
        <v>14805.935999999998</v>
      </c>
      <c r="G463" s="51">
        <f>65.7*1.2</f>
        <v>78.84</v>
      </c>
      <c r="H463" s="51">
        <f>12189.39*1.2</f>
        <v>14627.267999999998</v>
      </c>
      <c r="I463" s="51">
        <f>(12189.39-64.56)*1.2</f>
        <v>14549.796</v>
      </c>
      <c r="J463" s="51">
        <f>64.56*1.2</f>
        <v>77.472</v>
      </c>
      <c r="K463" s="18"/>
      <c r="L463" s="19"/>
      <c r="M463" s="18"/>
      <c r="N463" s="12"/>
    </row>
    <row r="464" spans="1:14" s="6" customFormat="1" ht="12.75">
      <c r="A464" s="50">
        <v>398</v>
      </c>
      <c r="B464" s="50" t="s">
        <v>238</v>
      </c>
      <c r="C464" s="51" t="s">
        <v>239</v>
      </c>
      <c r="D464" s="51" t="s">
        <v>81</v>
      </c>
      <c r="E464" s="52">
        <v>2.005</v>
      </c>
      <c r="F464" s="51">
        <f>(3051.4-3051.4)*1.2</f>
        <v>0</v>
      </c>
      <c r="G464" s="51">
        <f>3051.4*1.2</f>
        <v>3661.68</v>
      </c>
      <c r="H464" s="51">
        <f>6118.06*1.2</f>
        <v>7341.6720000000005</v>
      </c>
      <c r="I464" s="51">
        <f>(6118.06-6118.06)*1.2</f>
        <v>0</v>
      </c>
      <c r="J464" s="51">
        <f>6118.06*1.2</f>
        <v>7341.6720000000005</v>
      </c>
      <c r="K464" s="18"/>
      <c r="L464" s="19"/>
      <c r="M464" s="18"/>
      <c r="N464" s="12"/>
    </row>
    <row r="465" spans="1:14" s="6" customFormat="1" ht="140.25">
      <c r="A465" s="50">
        <v>399</v>
      </c>
      <c r="B465" s="50" t="s">
        <v>329</v>
      </c>
      <c r="C465" s="51" t="s">
        <v>409</v>
      </c>
      <c r="D465" s="51" t="s">
        <v>31</v>
      </c>
      <c r="E465" s="52">
        <v>1.0947</v>
      </c>
      <c r="F465" s="51">
        <f>(2125.36-761.64)*1.2</f>
        <v>1636.4640000000002</v>
      </c>
      <c r="G465" s="51">
        <f>761.64*1.2</f>
        <v>913.968</v>
      </c>
      <c r="H465" s="51">
        <f>2326.63*1.2</f>
        <v>2791.956</v>
      </c>
      <c r="I465" s="51">
        <f>(2326.63-833.77)*1.2</f>
        <v>1791.432</v>
      </c>
      <c r="J465" s="51">
        <f>833.77*1.2</f>
        <v>1000.5239999999999</v>
      </c>
      <c r="K465" s="18"/>
      <c r="L465" s="19"/>
      <c r="M465" s="18"/>
      <c r="N465" s="12"/>
    </row>
    <row r="466" spans="1:14" s="6" customFormat="1" ht="25.5">
      <c r="A466" s="50">
        <v>400</v>
      </c>
      <c r="B466" s="50" t="s">
        <v>331</v>
      </c>
      <c r="C466" s="51" t="s">
        <v>332</v>
      </c>
      <c r="D466" s="51" t="s">
        <v>60</v>
      </c>
      <c r="E466" s="52">
        <v>112.8</v>
      </c>
      <c r="F466" s="51">
        <f>(42.93-42.93)*1.2</f>
        <v>0</v>
      </c>
      <c r="G466" s="51">
        <f>42.93*1.2</f>
        <v>51.516</v>
      </c>
      <c r="H466" s="51">
        <f>4842.5*1.2</f>
        <v>5811</v>
      </c>
      <c r="I466" s="51">
        <f>(4842.5-4842.5)*1.2</f>
        <v>0</v>
      </c>
      <c r="J466" s="51">
        <f>4842.5*1.2</f>
        <v>5811</v>
      </c>
      <c r="K466" s="18"/>
      <c r="L466" s="19"/>
      <c r="M466" s="18"/>
      <c r="N466" s="12"/>
    </row>
    <row r="467" spans="1:14" s="6" customFormat="1" ht="140.25">
      <c r="A467" s="50">
        <v>401</v>
      </c>
      <c r="B467" s="50" t="s">
        <v>236</v>
      </c>
      <c r="C467" s="51" t="s">
        <v>408</v>
      </c>
      <c r="D467" s="51" t="s">
        <v>31</v>
      </c>
      <c r="E467" s="52">
        <v>0.9827</v>
      </c>
      <c r="F467" s="51">
        <f>(12403.98-65.7)*1.2</f>
        <v>14805.935999999998</v>
      </c>
      <c r="G467" s="51">
        <f>65.7*1.2</f>
        <v>78.84</v>
      </c>
      <c r="H467" s="51">
        <f>12189.39*1.2</f>
        <v>14627.267999999998</v>
      </c>
      <c r="I467" s="51">
        <f>(12189.39-64.56)*1.2</f>
        <v>14549.796</v>
      </c>
      <c r="J467" s="51">
        <f>64.56*1.2</f>
        <v>77.472</v>
      </c>
      <c r="K467" s="18"/>
      <c r="L467" s="19"/>
      <c r="M467" s="18"/>
      <c r="N467" s="12"/>
    </row>
    <row r="468" spans="1:14" s="6" customFormat="1" ht="12.75">
      <c r="A468" s="50">
        <v>402</v>
      </c>
      <c r="B468" s="50" t="s">
        <v>238</v>
      </c>
      <c r="C468" s="51" t="s">
        <v>239</v>
      </c>
      <c r="D468" s="51" t="s">
        <v>81</v>
      </c>
      <c r="E468" s="52">
        <v>2.005</v>
      </c>
      <c r="F468" s="51">
        <f>(3051.4-3051.4)*1.2</f>
        <v>0</v>
      </c>
      <c r="G468" s="51">
        <f>3051.4*1.2</f>
        <v>3661.68</v>
      </c>
      <c r="H468" s="51">
        <f>6118.06*1.2</f>
        <v>7341.6720000000005</v>
      </c>
      <c r="I468" s="51">
        <f>(6118.06-6118.06)*1.2</f>
        <v>0</v>
      </c>
      <c r="J468" s="51">
        <f>6118.06*1.2</f>
        <v>7341.6720000000005</v>
      </c>
      <c r="K468" s="18"/>
      <c r="L468" s="19"/>
      <c r="M468" s="18"/>
      <c r="N468" s="12"/>
    </row>
    <row r="469" spans="1:14" s="6" customFormat="1" ht="140.25">
      <c r="A469" s="50">
        <v>403</v>
      </c>
      <c r="B469" s="50" t="s">
        <v>281</v>
      </c>
      <c r="C469" s="51" t="s">
        <v>410</v>
      </c>
      <c r="D469" s="51" t="s">
        <v>31</v>
      </c>
      <c r="E469" s="52">
        <v>0.9827</v>
      </c>
      <c r="F469" s="51">
        <f>(1008.04-0)*1.2</f>
        <v>1209.648</v>
      </c>
      <c r="G469" s="51">
        <f>0*1.2</f>
        <v>0</v>
      </c>
      <c r="H469" s="51">
        <f>990.6*1.2</f>
        <v>1188.72</v>
      </c>
      <c r="I469" s="51">
        <f>(990.6-0)*1.2</f>
        <v>1188.72</v>
      </c>
      <c r="J469" s="51">
        <f>0*1.2</f>
        <v>0</v>
      </c>
      <c r="K469" s="18"/>
      <c r="L469" s="19"/>
      <c r="M469" s="18"/>
      <c r="N469" s="12"/>
    </row>
    <row r="470" spans="1:14" s="6" customFormat="1" ht="12.75">
      <c r="A470" s="50">
        <v>404</v>
      </c>
      <c r="B470" s="50" t="s">
        <v>238</v>
      </c>
      <c r="C470" s="51" t="s">
        <v>239</v>
      </c>
      <c r="D470" s="51" t="s">
        <v>81</v>
      </c>
      <c r="E470" s="52">
        <v>2.005</v>
      </c>
      <c r="F470" s="51">
        <f>(3051.4-3051.4)*1.2</f>
        <v>0</v>
      </c>
      <c r="G470" s="51">
        <f>3051.4*1.2</f>
        <v>3661.68</v>
      </c>
      <c r="H470" s="51">
        <f>6118.06*1.2</f>
        <v>7341.6720000000005</v>
      </c>
      <c r="I470" s="51">
        <f>(6118.06-6118.06)*1.2</f>
        <v>0</v>
      </c>
      <c r="J470" s="51">
        <f>6118.06*1.2</f>
        <v>7341.6720000000005</v>
      </c>
      <c r="K470" s="18"/>
      <c r="L470" s="19"/>
      <c r="M470" s="18"/>
      <c r="N470" s="12"/>
    </row>
    <row r="471" spans="1:14" s="6" customFormat="1" ht="127.5">
      <c r="A471" s="50">
        <v>405</v>
      </c>
      <c r="B471" s="50" t="s">
        <v>353</v>
      </c>
      <c r="C471" s="51" t="s">
        <v>411</v>
      </c>
      <c r="D471" s="51" t="s">
        <v>31</v>
      </c>
      <c r="E471" s="52">
        <v>0.9827</v>
      </c>
      <c r="F471" s="51">
        <f>(18557.64-3157.71)*1.2</f>
        <v>18479.916</v>
      </c>
      <c r="G471" s="51">
        <f>3157.71*1.2</f>
        <v>3789.252</v>
      </c>
      <c r="H471" s="51">
        <f>18236.59*1.2</f>
        <v>21883.908</v>
      </c>
      <c r="I471" s="51">
        <f>(18236.59-3103.08)*1.2</f>
        <v>18160.212</v>
      </c>
      <c r="J471" s="51">
        <f>3103.08*1.2</f>
        <v>3723.696</v>
      </c>
      <c r="K471" s="18"/>
      <c r="L471" s="19"/>
      <c r="M471" s="18"/>
      <c r="N471" s="12"/>
    </row>
    <row r="472" spans="1:14" s="6" customFormat="1" ht="12.75">
      <c r="A472" s="50">
        <v>406</v>
      </c>
      <c r="B472" s="50" t="s">
        <v>355</v>
      </c>
      <c r="C472" s="51" t="s">
        <v>356</v>
      </c>
      <c r="D472" s="51" t="s">
        <v>60</v>
      </c>
      <c r="E472" s="52">
        <v>100.2</v>
      </c>
      <c r="F472" s="51">
        <f>(919.33-919.33)*1.2</f>
        <v>0</v>
      </c>
      <c r="G472" s="51">
        <f>919.33*1.2</f>
        <v>1103.196</v>
      </c>
      <c r="H472" s="51">
        <f>92116.87*1.2</f>
        <v>110540.24399999999</v>
      </c>
      <c r="I472" s="51">
        <f>(92116.87-92116.87)*1.2</f>
        <v>0</v>
      </c>
      <c r="J472" s="51">
        <f>92116.87*1.2</f>
        <v>110540.24399999999</v>
      </c>
      <c r="K472" s="18"/>
      <c r="L472" s="19"/>
      <c r="M472" s="18"/>
      <c r="N472" s="12"/>
    </row>
    <row r="473" spans="1:14" s="6" customFormat="1" ht="216.75">
      <c r="A473" s="50">
        <v>407</v>
      </c>
      <c r="B473" s="50" t="s">
        <v>261</v>
      </c>
      <c r="C473" s="51" t="s">
        <v>412</v>
      </c>
      <c r="D473" s="51" t="s">
        <v>131</v>
      </c>
      <c r="E473" s="52">
        <v>1.05</v>
      </c>
      <c r="F473" s="51">
        <f>(2517.4-200.14)*1.2</f>
        <v>2780.712</v>
      </c>
      <c r="G473" s="51">
        <f>200.14*1.2</f>
        <v>240.16799999999998</v>
      </c>
      <c r="H473" s="51">
        <f>2643.27*1.2</f>
        <v>3171.924</v>
      </c>
      <c r="I473" s="51">
        <f>(2643.27-210.15)*1.2</f>
        <v>2919.7439999999997</v>
      </c>
      <c r="J473" s="51">
        <f>210.15*1.2</f>
        <v>252.18</v>
      </c>
      <c r="K473" s="18"/>
      <c r="L473" s="19"/>
      <c r="M473" s="18"/>
      <c r="N473" s="12"/>
    </row>
    <row r="474" spans="1:14" s="6" customFormat="1" ht="12.75">
      <c r="A474" s="50">
        <v>408</v>
      </c>
      <c r="B474" s="50" t="s">
        <v>263</v>
      </c>
      <c r="C474" s="51" t="s">
        <v>264</v>
      </c>
      <c r="D474" s="51" t="s">
        <v>134</v>
      </c>
      <c r="E474" s="52">
        <v>106.1</v>
      </c>
      <c r="F474" s="51">
        <f>(7.87-7.87)*1.2</f>
        <v>0</v>
      </c>
      <c r="G474" s="51">
        <f>7.87*1.2</f>
        <v>9.443999999999999</v>
      </c>
      <c r="H474" s="51">
        <f>835.01*1.2</f>
        <v>1002.012</v>
      </c>
      <c r="I474" s="51">
        <f>(835.01-835.01)*1.2</f>
        <v>0</v>
      </c>
      <c r="J474" s="51">
        <f>835.01*1.2</f>
        <v>1002.012</v>
      </c>
      <c r="K474" s="18"/>
      <c r="L474" s="19"/>
      <c r="M474" s="18"/>
      <c r="N474" s="12"/>
    </row>
    <row r="475" spans="1:14" s="6" customFormat="1" ht="12.75">
      <c r="A475" s="50">
        <v>409</v>
      </c>
      <c r="B475" s="50" t="s">
        <v>265</v>
      </c>
      <c r="C475" s="51" t="s">
        <v>266</v>
      </c>
      <c r="D475" s="51" t="s">
        <v>267</v>
      </c>
      <c r="E475" s="52">
        <v>0.084</v>
      </c>
      <c r="F475" s="51">
        <f>(617.98-618)*1.2</f>
        <v>-0.02399999999997817</v>
      </c>
      <c r="G475" s="51">
        <f>618*1.2</f>
        <v>741.6</v>
      </c>
      <c r="H475" s="51">
        <f>51.91*1.2</f>
        <v>62.291999999999994</v>
      </c>
      <c r="I475" s="51">
        <f>(51.91-51.91)*1.2</f>
        <v>0</v>
      </c>
      <c r="J475" s="51">
        <f>51.91*1.2</f>
        <v>62.291999999999994</v>
      </c>
      <c r="K475" s="18"/>
      <c r="L475" s="19"/>
      <c r="M475" s="18"/>
      <c r="N475" s="12"/>
    </row>
    <row r="476" spans="1:14" s="6" customFormat="1" ht="12.75">
      <c r="A476" s="50">
        <v>410</v>
      </c>
      <c r="B476" s="50" t="s">
        <v>268</v>
      </c>
      <c r="C476" s="51" t="s">
        <v>269</v>
      </c>
      <c r="D476" s="51" t="s">
        <v>267</v>
      </c>
      <c r="E476" s="52">
        <v>0.084</v>
      </c>
      <c r="F476" s="51">
        <f>(617.98-618)*1.2</f>
        <v>-0.02399999999997817</v>
      </c>
      <c r="G476" s="51">
        <f>618*1.2</f>
        <v>741.6</v>
      </c>
      <c r="H476" s="51">
        <f>51.91*1.2</f>
        <v>62.291999999999994</v>
      </c>
      <c r="I476" s="51">
        <f>(51.91-51.91)*1.2</f>
        <v>0</v>
      </c>
      <c r="J476" s="51">
        <f>51.91*1.2</f>
        <v>62.291999999999994</v>
      </c>
      <c r="K476" s="18"/>
      <c r="L476" s="19"/>
      <c r="M476" s="18"/>
      <c r="N476" s="12"/>
    </row>
    <row r="477" spans="1:14" s="6" customFormat="1" ht="12.75">
      <c r="A477" s="50">
        <v>411</v>
      </c>
      <c r="B477" s="50" t="s">
        <v>270</v>
      </c>
      <c r="C477" s="51" t="s">
        <v>271</v>
      </c>
      <c r="D477" s="51" t="s">
        <v>267</v>
      </c>
      <c r="E477" s="52">
        <v>0.42</v>
      </c>
      <c r="F477" s="51">
        <f>(879-879)*1.2</f>
        <v>0</v>
      </c>
      <c r="G477" s="51">
        <f>879*1.2</f>
        <v>1054.8</v>
      </c>
      <c r="H477" s="51">
        <f>369.18*1.2</f>
        <v>443.016</v>
      </c>
      <c r="I477" s="51">
        <f>(369.18-369.18)*1.2</f>
        <v>0</v>
      </c>
      <c r="J477" s="51">
        <f>369.18*1.2</f>
        <v>443.016</v>
      </c>
      <c r="K477" s="18"/>
      <c r="L477" s="19"/>
      <c r="M477" s="18"/>
      <c r="N477" s="12"/>
    </row>
    <row r="478" spans="1:14" s="6" customFormat="1" ht="12.75">
      <c r="A478" s="50">
        <v>412</v>
      </c>
      <c r="B478" s="50" t="s">
        <v>272</v>
      </c>
      <c r="C478" s="51" t="s">
        <v>273</v>
      </c>
      <c r="D478" s="51" t="s">
        <v>267</v>
      </c>
      <c r="E478" s="52">
        <v>0.0735</v>
      </c>
      <c r="F478" s="51">
        <f>(793.06-793)*1.2</f>
        <v>0.07199999999993452</v>
      </c>
      <c r="G478" s="51">
        <f>793*1.2</f>
        <v>951.5999999999999</v>
      </c>
      <c r="H478" s="51">
        <f>58.29*1.2</f>
        <v>69.948</v>
      </c>
      <c r="I478" s="51">
        <f>(58.29-58.29)*1.2</f>
        <v>0</v>
      </c>
      <c r="J478" s="51">
        <f>58.29*1.2</f>
        <v>69.948</v>
      </c>
      <c r="K478" s="18"/>
      <c r="L478" s="19"/>
      <c r="M478" s="18"/>
      <c r="N478" s="12"/>
    </row>
    <row r="479" spans="1:14" s="6" customFormat="1" ht="12.75">
      <c r="A479" s="50">
        <v>413</v>
      </c>
      <c r="B479" s="50" t="s">
        <v>274</v>
      </c>
      <c r="C479" s="51" t="s">
        <v>275</v>
      </c>
      <c r="D479" s="51" t="s">
        <v>267</v>
      </c>
      <c r="E479" s="52">
        <v>0.0735</v>
      </c>
      <c r="F479" s="51">
        <f>(793.06-793)*1.2</f>
        <v>0.07199999999993452</v>
      </c>
      <c r="G479" s="51">
        <f>793*1.2</f>
        <v>951.5999999999999</v>
      </c>
      <c r="H479" s="51">
        <f>58.29*1.2</f>
        <v>69.948</v>
      </c>
      <c r="I479" s="51">
        <f>(58.29-58.29)*1.2</f>
        <v>0</v>
      </c>
      <c r="J479" s="51">
        <f>58.29*1.2</f>
        <v>69.948</v>
      </c>
      <c r="K479" s="18"/>
      <c r="L479" s="19"/>
      <c r="M479" s="18"/>
      <c r="N479" s="12"/>
    </row>
    <row r="480" spans="1:14" s="6" customFormat="1" ht="18" customHeight="1">
      <c r="A480" s="77" t="s">
        <v>362</v>
      </c>
      <c r="B480" s="78"/>
      <c r="C480" s="78"/>
      <c r="D480" s="78"/>
      <c r="E480" s="78"/>
      <c r="F480" s="78"/>
      <c r="G480" s="78"/>
      <c r="H480" s="78"/>
      <c r="I480" s="78"/>
      <c r="J480" s="78"/>
      <c r="K480" s="18"/>
      <c r="L480" s="19"/>
      <c r="M480" s="18"/>
      <c r="N480" s="12"/>
    </row>
    <row r="481" spans="1:14" s="6" customFormat="1" ht="140.25">
      <c r="A481" s="50">
        <v>414</v>
      </c>
      <c r="B481" s="50" t="s">
        <v>236</v>
      </c>
      <c r="C481" s="51" t="s">
        <v>413</v>
      </c>
      <c r="D481" s="51" t="s">
        <v>31</v>
      </c>
      <c r="E481" s="52">
        <v>2.0273</v>
      </c>
      <c r="F481" s="51">
        <f>(12403.97-65.7)*1.2</f>
        <v>14805.923999999997</v>
      </c>
      <c r="G481" s="51">
        <f>65.7*1.2</f>
        <v>78.84</v>
      </c>
      <c r="H481" s="51">
        <f>25146.56*1.2</f>
        <v>30175.872</v>
      </c>
      <c r="I481" s="51">
        <f>(25146.56-133.2)*1.2</f>
        <v>30016.032</v>
      </c>
      <c r="J481" s="51">
        <f>133.2*1.2</f>
        <v>159.83999999999997</v>
      </c>
      <c r="K481" s="18"/>
      <c r="L481" s="19"/>
      <c r="M481" s="18"/>
      <c r="N481" s="12"/>
    </row>
    <row r="482" spans="1:14" s="6" customFormat="1" ht="12.75">
      <c r="A482" s="50">
        <v>415</v>
      </c>
      <c r="B482" s="50" t="s">
        <v>238</v>
      </c>
      <c r="C482" s="51" t="s">
        <v>239</v>
      </c>
      <c r="D482" s="51" t="s">
        <v>81</v>
      </c>
      <c r="E482" s="52">
        <v>4.136</v>
      </c>
      <c r="F482" s="51">
        <f>(3051.4-3051.4)*1.2</f>
        <v>0</v>
      </c>
      <c r="G482" s="51">
        <f>3051.4*1.2</f>
        <v>3661.68</v>
      </c>
      <c r="H482" s="51">
        <f>12620.59*1.2</f>
        <v>15144.707999999999</v>
      </c>
      <c r="I482" s="51">
        <f>(12620.59-12620.59)*1.2</f>
        <v>0</v>
      </c>
      <c r="J482" s="51">
        <f>12620.59*1.2</f>
        <v>15144.707999999999</v>
      </c>
      <c r="K482" s="18"/>
      <c r="L482" s="19"/>
      <c r="M482" s="18"/>
      <c r="N482" s="12"/>
    </row>
    <row r="483" spans="1:14" s="6" customFormat="1" ht="191.25">
      <c r="A483" s="50">
        <v>416</v>
      </c>
      <c r="B483" s="50" t="s">
        <v>77</v>
      </c>
      <c r="C483" s="51" t="s">
        <v>414</v>
      </c>
      <c r="D483" s="51" t="s">
        <v>31</v>
      </c>
      <c r="E483" s="52">
        <v>2.0273</v>
      </c>
      <c r="F483" s="51">
        <f>(152482.98-50378.79)*1.2</f>
        <v>122525.02799999999</v>
      </c>
      <c r="G483" s="51">
        <f>50378.79*1.2</f>
        <v>60454.547999999995</v>
      </c>
      <c r="H483" s="51">
        <f>309128.74*1.2</f>
        <v>370954.48799999995</v>
      </c>
      <c r="I483" s="51">
        <f>(309128.74-102132.92)*1.2</f>
        <v>248394.984</v>
      </c>
      <c r="J483" s="51">
        <f>102132.92*1.2</f>
        <v>122559.50399999999</v>
      </c>
      <c r="K483" s="18"/>
      <c r="L483" s="19"/>
      <c r="M483" s="18"/>
      <c r="N483" s="12"/>
    </row>
    <row r="484" spans="1:14" s="6" customFormat="1" ht="12.75">
      <c r="A484" s="50">
        <v>417</v>
      </c>
      <c r="B484" s="50" t="s">
        <v>79</v>
      </c>
      <c r="C484" s="51" t="s">
        <v>80</v>
      </c>
      <c r="D484" s="51" t="s">
        <v>81</v>
      </c>
      <c r="E484" s="52">
        <v>0.0203</v>
      </c>
      <c r="F484" s="51">
        <f>(5241.38-5241.16)*1.2</f>
        <v>0.2640000000003056</v>
      </c>
      <c r="G484" s="51">
        <f>5241.16*1.2</f>
        <v>6289.392</v>
      </c>
      <c r="H484" s="51">
        <f>106.4*1.2</f>
        <v>127.68</v>
      </c>
      <c r="I484" s="51">
        <f>(106.4-106.4)*1.2</f>
        <v>0</v>
      </c>
      <c r="J484" s="51">
        <f>106.4*1.2</f>
        <v>127.68</v>
      </c>
      <c r="K484" s="18"/>
      <c r="L484" s="19"/>
      <c r="M484" s="18"/>
      <c r="N484" s="12"/>
    </row>
    <row r="485" spans="1:14" s="6" customFormat="1" ht="12.75">
      <c r="A485" s="50">
        <v>418</v>
      </c>
      <c r="B485" s="50" t="s">
        <v>320</v>
      </c>
      <c r="C485" s="51" t="s">
        <v>321</v>
      </c>
      <c r="D485" s="51" t="s">
        <v>38</v>
      </c>
      <c r="E485" s="52">
        <v>0.026355</v>
      </c>
      <c r="F485" s="51">
        <f>(42514.13-42513.97)*1.2</f>
        <v>0.1919999999954598</v>
      </c>
      <c r="G485" s="51">
        <f>42513.97*1.2</f>
        <v>51016.764</v>
      </c>
      <c r="H485" s="51">
        <f>1120.46*1.2</f>
        <v>1344.552</v>
      </c>
      <c r="I485" s="51">
        <f>(1120.46-1120.46)*1.2</f>
        <v>0</v>
      </c>
      <c r="J485" s="51">
        <f>1120.46*1.2</f>
        <v>1344.552</v>
      </c>
      <c r="K485" s="18"/>
      <c r="L485" s="19"/>
      <c r="M485" s="18"/>
      <c r="N485" s="12"/>
    </row>
    <row r="486" spans="1:14" s="6" customFormat="1" ht="18" customHeight="1">
      <c r="A486" s="77" t="s">
        <v>415</v>
      </c>
      <c r="B486" s="78"/>
      <c r="C486" s="78"/>
      <c r="D486" s="78"/>
      <c r="E486" s="78"/>
      <c r="F486" s="78"/>
      <c r="G486" s="78"/>
      <c r="H486" s="78"/>
      <c r="I486" s="78"/>
      <c r="J486" s="78"/>
      <c r="K486" s="18"/>
      <c r="L486" s="19"/>
      <c r="M486" s="18"/>
      <c r="N486" s="12"/>
    </row>
    <row r="487" spans="1:14" s="6" customFormat="1" ht="127.5">
      <c r="A487" s="50">
        <v>419</v>
      </c>
      <c r="B487" s="50" t="s">
        <v>416</v>
      </c>
      <c r="C487" s="51" t="s">
        <v>417</v>
      </c>
      <c r="D487" s="51" t="s">
        <v>81</v>
      </c>
      <c r="E487" s="52">
        <v>1.51689</v>
      </c>
      <c r="F487" s="51">
        <f>(973.96-0)*1.2</f>
        <v>1168.752</v>
      </c>
      <c r="G487" s="51">
        <f>0*1.2</f>
        <v>0</v>
      </c>
      <c r="H487" s="51">
        <f>1477.39*1.2</f>
        <v>1772.8680000000002</v>
      </c>
      <c r="I487" s="51">
        <f>(1477.39-0)*1.2</f>
        <v>1772.8680000000002</v>
      </c>
      <c r="J487" s="51">
        <f>0*1.2</f>
        <v>0</v>
      </c>
      <c r="K487" s="18"/>
      <c r="L487" s="19"/>
      <c r="M487" s="18"/>
      <c r="N487" s="12"/>
    </row>
    <row r="488" spans="1:14" s="6" customFormat="1" ht="12.75">
      <c r="A488" s="50">
        <v>420</v>
      </c>
      <c r="B488" s="50" t="s">
        <v>418</v>
      </c>
      <c r="C488" s="51" t="s">
        <v>419</v>
      </c>
      <c r="D488" s="51" t="s">
        <v>81</v>
      </c>
      <c r="E488" s="52">
        <v>1.669</v>
      </c>
      <c r="F488" s="51">
        <f>(1140.91-1140.91)*1.2</f>
        <v>0</v>
      </c>
      <c r="G488" s="51">
        <f>1140.91*1.2</f>
        <v>1369.092</v>
      </c>
      <c r="H488" s="51">
        <f>1904.18*1.2</f>
        <v>2285.016</v>
      </c>
      <c r="I488" s="51">
        <f>(1904.18-1904.18)*1.2</f>
        <v>0</v>
      </c>
      <c r="J488" s="51">
        <f>1904.18*1.2</f>
        <v>2285.016</v>
      </c>
      <c r="K488" s="18"/>
      <c r="L488" s="19"/>
      <c r="M488" s="18"/>
      <c r="N488" s="12"/>
    </row>
    <row r="489" spans="1:14" s="6" customFormat="1" ht="153">
      <c r="A489" s="50">
        <v>421</v>
      </c>
      <c r="B489" s="50" t="s">
        <v>236</v>
      </c>
      <c r="C489" s="51" t="s">
        <v>420</v>
      </c>
      <c r="D489" s="51" t="s">
        <v>31</v>
      </c>
      <c r="E489" s="52">
        <v>0.0857</v>
      </c>
      <c r="F489" s="51">
        <f>(12404.08-65.7)*1.2</f>
        <v>14806.055999999999</v>
      </c>
      <c r="G489" s="51">
        <f>65.7*1.2</f>
        <v>78.84</v>
      </c>
      <c r="H489" s="51">
        <f>1063.03*1.2</f>
        <v>1275.636</v>
      </c>
      <c r="I489" s="51">
        <f>(1063.03-5.62)*1.2</f>
        <v>1268.892</v>
      </c>
      <c r="J489" s="51">
        <f>5.62*1.2</f>
        <v>6.744</v>
      </c>
      <c r="K489" s="18"/>
      <c r="L489" s="19"/>
      <c r="M489" s="18"/>
      <c r="N489" s="12"/>
    </row>
    <row r="490" spans="1:14" s="6" customFormat="1" ht="12.75">
      <c r="A490" s="50">
        <v>422</v>
      </c>
      <c r="B490" s="50" t="s">
        <v>238</v>
      </c>
      <c r="C490" s="51" t="s">
        <v>239</v>
      </c>
      <c r="D490" s="51" t="s">
        <v>81</v>
      </c>
      <c r="E490" s="52">
        <v>0.1748</v>
      </c>
      <c r="F490" s="51">
        <f>(3051.37-3051.4)*1.2</f>
        <v>-0.036000000000240104</v>
      </c>
      <c r="G490" s="51">
        <f>3051.4*1.2</f>
        <v>3661.68</v>
      </c>
      <c r="H490" s="51">
        <f>533.38*1.2</f>
        <v>640.0559999999999</v>
      </c>
      <c r="I490" s="51">
        <f>(533.38-533.38)*1.2</f>
        <v>0</v>
      </c>
      <c r="J490" s="51">
        <f>533.38*1.2</f>
        <v>640.0559999999999</v>
      </c>
      <c r="K490" s="18"/>
      <c r="L490" s="19"/>
      <c r="M490" s="18"/>
      <c r="N490" s="12"/>
    </row>
    <row r="491" spans="1:14" s="6" customFormat="1" ht="140.25">
      <c r="A491" s="50">
        <v>423</v>
      </c>
      <c r="B491" s="50" t="s">
        <v>236</v>
      </c>
      <c r="C491" s="51" t="s">
        <v>421</v>
      </c>
      <c r="D491" s="51" t="s">
        <v>31</v>
      </c>
      <c r="E491" s="52">
        <v>0.0857</v>
      </c>
      <c r="F491" s="51">
        <f>(12404.08-65.7)*1.2</f>
        <v>14806.055999999999</v>
      </c>
      <c r="G491" s="51">
        <f>65.7*1.2</f>
        <v>78.84</v>
      </c>
      <c r="H491" s="51">
        <f>1063.03*1.2</f>
        <v>1275.636</v>
      </c>
      <c r="I491" s="51">
        <f>(1063.03-5.62)*1.2</f>
        <v>1268.892</v>
      </c>
      <c r="J491" s="51">
        <f>5.62*1.2</f>
        <v>6.744</v>
      </c>
      <c r="K491" s="18"/>
      <c r="L491" s="19"/>
      <c r="M491" s="18"/>
      <c r="N491" s="12"/>
    </row>
    <row r="492" spans="1:14" s="6" customFormat="1" ht="12.75">
      <c r="A492" s="50">
        <v>424</v>
      </c>
      <c r="B492" s="50" t="s">
        <v>238</v>
      </c>
      <c r="C492" s="51" t="s">
        <v>239</v>
      </c>
      <c r="D492" s="51" t="s">
        <v>81</v>
      </c>
      <c r="E492" s="52">
        <v>0.1748</v>
      </c>
      <c r="F492" s="51">
        <f>(3051.37-3051.4)*1.2</f>
        <v>-0.036000000000240104</v>
      </c>
      <c r="G492" s="51">
        <f>3051.4*1.2</f>
        <v>3661.68</v>
      </c>
      <c r="H492" s="51">
        <f>533.38*1.2</f>
        <v>640.0559999999999</v>
      </c>
      <c r="I492" s="51">
        <f>(533.38-533.38)*1.2</f>
        <v>0</v>
      </c>
      <c r="J492" s="51">
        <f>533.38*1.2</f>
        <v>640.0559999999999</v>
      </c>
      <c r="K492" s="18"/>
      <c r="L492" s="19"/>
      <c r="M492" s="18"/>
      <c r="N492" s="12"/>
    </row>
    <row r="493" spans="1:14" s="6" customFormat="1" ht="140.25">
      <c r="A493" s="50">
        <v>425</v>
      </c>
      <c r="B493" s="50" t="s">
        <v>281</v>
      </c>
      <c r="C493" s="51" t="s">
        <v>422</v>
      </c>
      <c r="D493" s="51" t="s">
        <v>31</v>
      </c>
      <c r="E493" s="52">
        <v>0.0857</v>
      </c>
      <c r="F493" s="51">
        <f>(1008.05-0)*1.2</f>
        <v>1209.6599999999999</v>
      </c>
      <c r="G493" s="51">
        <f>0*1.2</f>
        <v>0</v>
      </c>
      <c r="H493" s="51">
        <f>86.39*1.2</f>
        <v>103.66799999999999</v>
      </c>
      <c r="I493" s="51">
        <f>(86.39-0)*1.2</f>
        <v>103.66799999999999</v>
      </c>
      <c r="J493" s="51">
        <f>0*1.2</f>
        <v>0</v>
      </c>
      <c r="K493" s="18"/>
      <c r="L493" s="19"/>
      <c r="M493" s="18"/>
      <c r="N493" s="12"/>
    </row>
    <row r="494" spans="1:14" s="6" customFormat="1" ht="12.75">
      <c r="A494" s="50">
        <v>426</v>
      </c>
      <c r="B494" s="50" t="s">
        <v>238</v>
      </c>
      <c r="C494" s="51" t="s">
        <v>239</v>
      </c>
      <c r="D494" s="51" t="s">
        <v>81</v>
      </c>
      <c r="E494" s="52">
        <v>0.1748</v>
      </c>
      <c r="F494" s="51">
        <f>(3051.37-3051.4)*1.2</f>
        <v>-0.036000000000240104</v>
      </c>
      <c r="G494" s="51">
        <f>3051.4*1.2</f>
        <v>3661.68</v>
      </c>
      <c r="H494" s="51">
        <f>533.38*1.2</f>
        <v>640.0559999999999</v>
      </c>
      <c r="I494" s="51">
        <f>(533.38-533.38)*1.2</f>
        <v>0</v>
      </c>
      <c r="J494" s="51">
        <f>533.38*1.2</f>
        <v>640.0559999999999</v>
      </c>
      <c r="K494" s="18"/>
      <c r="L494" s="19"/>
      <c r="M494" s="18"/>
      <c r="N494" s="12"/>
    </row>
    <row r="495" spans="1:14" s="6" customFormat="1" ht="191.25">
      <c r="A495" s="50">
        <v>427</v>
      </c>
      <c r="B495" s="50" t="s">
        <v>298</v>
      </c>
      <c r="C495" s="51" t="s">
        <v>423</v>
      </c>
      <c r="D495" s="51" t="s">
        <v>31</v>
      </c>
      <c r="E495" s="52">
        <v>0.0857</v>
      </c>
      <c r="F495" s="51">
        <f>(75440.37-34259.24)*1.2</f>
        <v>49417.35599999999</v>
      </c>
      <c r="G495" s="51">
        <f>34259.24*1.2</f>
        <v>41111.087999999996</v>
      </c>
      <c r="H495" s="51">
        <f>6465.24*1.2</f>
        <v>7758.288</v>
      </c>
      <c r="I495" s="51">
        <f>(6465.24-2936.02)*1.2</f>
        <v>4235.063999999999</v>
      </c>
      <c r="J495" s="51">
        <f>2936.02*1.2</f>
        <v>3523.2239999999997</v>
      </c>
      <c r="K495" s="18"/>
      <c r="L495" s="19"/>
      <c r="M495" s="18"/>
      <c r="N495" s="12"/>
    </row>
    <row r="496" spans="1:14" s="6" customFormat="1" ht="12.75">
      <c r="A496" s="53">
        <v>428</v>
      </c>
      <c r="B496" s="53" t="s">
        <v>300</v>
      </c>
      <c r="C496" s="54" t="s">
        <v>301</v>
      </c>
      <c r="D496" s="54" t="s">
        <v>41</v>
      </c>
      <c r="E496" s="55">
        <v>38.57</v>
      </c>
      <c r="F496" s="54">
        <f>(7.71-7.71)*1.2</f>
        <v>0</v>
      </c>
      <c r="G496" s="54">
        <f>7.71*1.2</f>
        <v>9.251999999999999</v>
      </c>
      <c r="H496" s="54">
        <f>297.37*1.2</f>
        <v>356.844</v>
      </c>
      <c r="I496" s="54">
        <f>(297.37-297.37)*1.2</f>
        <v>0</v>
      </c>
      <c r="J496" s="54">
        <f>297.37*1.2</f>
        <v>356.844</v>
      </c>
      <c r="K496" s="18"/>
      <c r="L496" s="19"/>
      <c r="M496" s="18"/>
      <c r="N496" s="12"/>
    </row>
    <row r="497" spans="1:14" s="6" customFormat="1" ht="18.75" customHeight="1">
      <c r="A497" s="79" t="s">
        <v>424</v>
      </c>
      <c r="B497" s="80"/>
      <c r="C497" s="80"/>
      <c r="D497" s="80"/>
      <c r="E497" s="80"/>
      <c r="F497" s="80"/>
      <c r="G497" s="80"/>
      <c r="H497" s="80"/>
      <c r="I497" s="80"/>
      <c r="J497" s="80"/>
      <c r="K497" s="18"/>
      <c r="L497" s="19"/>
      <c r="M497" s="18"/>
      <c r="N497" s="12"/>
    </row>
    <row r="498" spans="1:14" s="6" customFormat="1" ht="191.25">
      <c r="A498" s="50">
        <v>429</v>
      </c>
      <c r="B498" s="50" t="s">
        <v>425</v>
      </c>
      <c r="C498" s="51" t="s">
        <v>426</v>
      </c>
      <c r="D498" s="51" t="s">
        <v>31</v>
      </c>
      <c r="E498" s="52">
        <v>14.112</v>
      </c>
      <c r="F498" s="51">
        <f>(118228.71-32171.33)*1.2</f>
        <v>103268.856</v>
      </c>
      <c r="G498" s="51">
        <f>32171.33*1.2</f>
        <v>38605.596</v>
      </c>
      <c r="H498" s="51">
        <f>1668443.62*1.2</f>
        <v>2002132.344</v>
      </c>
      <c r="I498" s="51">
        <f>(1668443.62-454001.81)*1.2</f>
        <v>1457330.172</v>
      </c>
      <c r="J498" s="51">
        <f>454001.81*1.2</f>
        <v>544802.172</v>
      </c>
      <c r="K498" s="18"/>
      <c r="L498" s="19"/>
      <c r="M498" s="18"/>
      <c r="N498" s="12"/>
    </row>
    <row r="499" spans="1:14" s="6" customFormat="1" ht="12.75">
      <c r="A499" s="50">
        <v>430</v>
      </c>
      <c r="B499" s="50" t="s">
        <v>427</v>
      </c>
      <c r="C499" s="51" t="s">
        <v>428</v>
      </c>
      <c r="D499" s="51" t="s">
        <v>60</v>
      </c>
      <c r="E499" s="52">
        <v>1482</v>
      </c>
      <c r="F499" s="51">
        <f>(533.4-533.4)*1.2</f>
        <v>0</v>
      </c>
      <c r="G499" s="51">
        <f>533.4*1.2</f>
        <v>640.0799999999999</v>
      </c>
      <c r="H499" s="51">
        <f>790498.8*1.2</f>
        <v>948598.56</v>
      </c>
      <c r="I499" s="51">
        <f>(790498.8-790498.8)*1.2</f>
        <v>0</v>
      </c>
      <c r="J499" s="51">
        <f>790498.8*1.2</f>
        <v>948598.56</v>
      </c>
      <c r="K499" s="18"/>
      <c r="L499" s="19"/>
      <c r="M499" s="18"/>
      <c r="N499" s="12"/>
    </row>
    <row r="500" spans="1:14" s="6" customFormat="1" ht="12.75">
      <c r="A500" s="50">
        <v>431</v>
      </c>
      <c r="B500" s="50" t="s">
        <v>429</v>
      </c>
      <c r="C500" s="51" t="s">
        <v>430</v>
      </c>
      <c r="D500" s="51" t="s">
        <v>41</v>
      </c>
      <c r="E500" s="52">
        <v>670.3</v>
      </c>
      <c r="F500" s="51">
        <f>(73.46-73.46)*1.2</f>
        <v>0</v>
      </c>
      <c r="G500" s="51">
        <f>73.46*1.2</f>
        <v>88.15199999999999</v>
      </c>
      <c r="H500" s="51">
        <f>49240.24*1.2</f>
        <v>59088.28799999999</v>
      </c>
      <c r="I500" s="51">
        <f>(49240.24-49240.24)*1.2</f>
        <v>0</v>
      </c>
      <c r="J500" s="51">
        <f>49240.24*1.2</f>
        <v>59088.28799999999</v>
      </c>
      <c r="K500" s="18"/>
      <c r="L500" s="19"/>
      <c r="M500" s="18"/>
      <c r="N500" s="12"/>
    </row>
    <row r="501" spans="1:14" s="6" customFormat="1" ht="178.5">
      <c r="A501" s="50">
        <v>432</v>
      </c>
      <c r="B501" s="50" t="s">
        <v>431</v>
      </c>
      <c r="C501" s="51" t="s">
        <v>432</v>
      </c>
      <c r="D501" s="51" t="s">
        <v>60</v>
      </c>
      <c r="E501" s="52">
        <v>360.39</v>
      </c>
      <c r="F501" s="51">
        <f>(919.51-446.03)*1.2</f>
        <v>568.176</v>
      </c>
      <c r="G501" s="51">
        <f>446.03*1.2</f>
        <v>535.236</v>
      </c>
      <c r="H501" s="51">
        <f>331381.95*1.2</f>
        <v>397658.34</v>
      </c>
      <c r="I501" s="51">
        <f>(331381.95-160744.75)*1.2</f>
        <v>204764.64</v>
      </c>
      <c r="J501" s="51">
        <f>160744.75*1.2</f>
        <v>192893.69999999998</v>
      </c>
      <c r="K501" s="18"/>
      <c r="L501" s="19"/>
      <c r="M501" s="18"/>
      <c r="N501" s="12"/>
    </row>
    <row r="502" spans="1:14" s="6" customFormat="1" ht="204">
      <c r="A502" s="50">
        <v>433</v>
      </c>
      <c r="B502" s="50" t="s">
        <v>433</v>
      </c>
      <c r="C502" s="51" t="s">
        <v>434</v>
      </c>
      <c r="D502" s="51" t="s">
        <v>31</v>
      </c>
      <c r="E502" s="52">
        <v>18.642</v>
      </c>
      <c r="F502" s="51">
        <f>(15075.34-817.97)*1.2</f>
        <v>17108.844</v>
      </c>
      <c r="G502" s="51">
        <f>817.97*1.2</f>
        <v>981.564</v>
      </c>
      <c r="H502" s="51">
        <f>281034.51*1.2</f>
        <v>337241.412</v>
      </c>
      <c r="I502" s="51">
        <f>(281034.51-15248.6)*1.2</f>
        <v>318943.092</v>
      </c>
      <c r="J502" s="51">
        <f>15248.6*1.2</f>
        <v>18298.32</v>
      </c>
      <c r="K502" s="18"/>
      <c r="L502" s="19"/>
      <c r="M502" s="18"/>
      <c r="N502" s="12"/>
    </row>
    <row r="503" spans="1:14" s="6" customFormat="1" ht="12.75">
      <c r="A503" s="50">
        <v>434</v>
      </c>
      <c r="B503" s="50" t="s">
        <v>435</v>
      </c>
      <c r="C503" s="51" t="s">
        <v>436</v>
      </c>
      <c r="D503" s="51" t="s">
        <v>81</v>
      </c>
      <c r="E503" s="52">
        <v>0.1678</v>
      </c>
      <c r="F503" s="51">
        <f>(2590.29-2590.27)*1.2</f>
        <v>0.02399999999997817</v>
      </c>
      <c r="G503" s="51">
        <f>2590.27*1.2</f>
        <v>3108.324</v>
      </c>
      <c r="H503" s="51">
        <f>434.65*1.2</f>
        <v>521.5799999999999</v>
      </c>
      <c r="I503" s="51">
        <f>(434.65-434.65)*1.2</f>
        <v>0</v>
      </c>
      <c r="J503" s="51">
        <f>434.65*1.2</f>
        <v>521.5799999999999</v>
      </c>
      <c r="K503" s="18"/>
      <c r="L503" s="19"/>
      <c r="M503" s="18"/>
      <c r="N503" s="12"/>
    </row>
    <row r="504" spans="1:14" s="6" customFormat="1" ht="25.5">
      <c r="A504" s="53">
        <v>435</v>
      </c>
      <c r="B504" s="53" t="s">
        <v>437</v>
      </c>
      <c r="C504" s="54" t="s">
        <v>438</v>
      </c>
      <c r="D504" s="54" t="s">
        <v>38</v>
      </c>
      <c r="E504" s="55">
        <v>0.6525</v>
      </c>
      <c r="F504" s="54">
        <f>(25184.03-25184.03)*1.2</f>
        <v>0</v>
      </c>
      <c r="G504" s="54">
        <f>25184.03*1.2</f>
        <v>30220.835999999996</v>
      </c>
      <c r="H504" s="54">
        <f>16432.58*1.2</f>
        <v>19719.096</v>
      </c>
      <c r="I504" s="54">
        <f>(16432.58-16432.58)*1.2</f>
        <v>0</v>
      </c>
      <c r="J504" s="54">
        <f>16432.58*1.2</f>
        <v>19719.096</v>
      </c>
      <c r="K504" s="18"/>
      <c r="L504" s="19"/>
      <c r="M504" s="18"/>
      <c r="N504" s="12"/>
    </row>
    <row r="505" spans="1:14" s="6" customFormat="1" ht="18.75" customHeight="1">
      <c r="A505" s="79" t="s">
        <v>439</v>
      </c>
      <c r="B505" s="80"/>
      <c r="C505" s="80"/>
      <c r="D505" s="80"/>
      <c r="E505" s="80"/>
      <c r="F505" s="80"/>
      <c r="G505" s="80"/>
      <c r="H505" s="80"/>
      <c r="I505" s="80"/>
      <c r="J505" s="80"/>
      <c r="K505" s="18"/>
      <c r="L505" s="19"/>
      <c r="M505" s="18"/>
      <c r="N505" s="12"/>
    </row>
    <row r="506" spans="1:14" s="6" customFormat="1" ht="18" customHeight="1">
      <c r="A506" s="77" t="s">
        <v>440</v>
      </c>
      <c r="B506" s="78"/>
      <c r="C506" s="78"/>
      <c r="D506" s="78"/>
      <c r="E506" s="78"/>
      <c r="F506" s="78"/>
      <c r="G506" s="78"/>
      <c r="H506" s="78"/>
      <c r="I506" s="78"/>
      <c r="J506" s="78"/>
      <c r="K506" s="18"/>
      <c r="L506" s="19"/>
      <c r="M506" s="18"/>
      <c r="N506" s="12"/>
    </row>
    <row r="507" spans="1:14" s="6" customFormat="1" ht="114.75">
      <c r="A507" s="50">
        <v>436</v>
      </c>
      <c r="B507" s="50" t="s">
        <v>441</v>
      </c>
      <c r="C507" s="51" t="s">
        <v>442</v>
      </c>
      <c r="D507" s="51" t="s">
        <v>131</v>
      </c>
      <c r="E507" s="52">
        <v>1.698</v>
      </c>
      <c r="F507" s="51">
        <f>(22676.2-1552.09)*1.2</f>
        <v>25348.932</v>
      </c>
      <c r="G507" s="51">
        <f>1552.09*1.2</f>
        <v>1862.5079999999998</v>
      </c>
      <c r="H507" s="51">
        <f>38504.19*1.2</f>
        <v>46205.028</v>
      </c>
      <c r="I507" s="51">
        <f>(38504.19-2635.45)*1.2</f>
        <v>43042.488000000005</v>
      </c>
      <c r="J507" s="51">
        <f>2635.45*1.2</f>
        <v>3162.5399999999995</v>
      </c>
      <c r="K507" s="18"/>
      <c r="L507" s="19"/>
      <c r="M507" s="18"/>
      <c r="N507" s="12"/>
    </row>
    <row r="508" spans="1:14" s="6" customFormat="1" ht="38.25">
      <c r="A508" s="50">
        <v>437</v>
      </c>
      <c r="B508" s="50" t="s">
        <v>517</v>
      </c>
      <c r="C508" s="51" t="s">
        <v>443</v>
      </c>
      <c r="D508" s="51" t="s">
        <v>444</v>
      </c>
      <c r="E508" s="52">
        <v>169.8</v>
      </c>
      <c r="F508" s="51">
        <f>(4235.59-4235.59)*1.2</f>
        <v>0</v>
      </c>
      <c r="G508" s="51">
        <f>4235.59*1.2</f>
        <v>5082.708</v>
      </c>
      <c r="H508" s="51">
        <f>719203.18*1.2</f>
        <v>863043.816</v>
      </c>
      <c r="I508" s="51">
        <f>(719203.18-719203.18)*1.2</f>
        <v>0</v>
      </c>
      <c r="J508" s="51">
        <f>719203.18*1.2</f>
        <v>863043.816</v>
      </c>
      <c r="K508" s="18"/>
      <c r="L508" s="19"/>
      <c r="M508" s="18"/>
      <c r="N508" s="12"/>
    </row>
    <row r="509" spans="1:14" s="6" customFormat="1" ht="18" customHeight="1">
      <c r="A509" s="77" t="s">
        <v>445</v>
      </c>
      <c r="B509" s="78"/>
      <c r="C509" s="78"/>
      <c r="D509" s="78"/>
      <c r="E509" s="78"/>
      <c r="F509" s="78"/>
      <c r="G509" s="78"/>
      <c r="H509" s="78"/>
      <c r="I509" s="78"/>
      <c r="J509" s="78"/>
      <c r="K509" s="18"/>
      <c r="L509" s="19"/>
      <c r="M509" s="18"/>
      <c r="N509" s="12"/>
    </row>
    <row r="510" spans="1:14" s="6" customFormat="1" ht="114.75">
      <c r="A510" s="50">
        <v>438</v>
      </c>
      <c r="B510" s="50" t="s">
        <v>441</v>
      </c>
      <c r="C510" s="51" t="s">
        <v>446</v>
      </c>
      <c r="D510" s="51" t="s">
        <v>131</v>
      </c>
      <c r="E510" s="52">
        <v>0.729</v>
      </c>
      <c r="F510" s="51">
        <f>(22676.17-1552.09)*1.2</f>
        <v>25348.895999999997</v>
      </c>
      <c r="G510" s="51">
        <f>1552.09*1.2</f>
        <v>1862.5079999999998</v>
      </c>
      <c r="H510" s="51">
        <f>16530.93*1.2</f>
        <v>19837.115999999998</v>
      </c>
      <c r="I510" s="51">
        <f>(16530.93-1131.47)*1.2</f>
        <v>18479.352</v>
      </c>
      <c r="J510" s="51">
        <f>1131.47*1.2</f>
        <v>1357.764</v>
      </c>
      <c r="K510" s="18"/>
      <c r="L510" s="19"/>
      <c r="M510" s="18"/>
      <c r="N510" s="12"/>
    </row>
    <row r="511" spans="1:14" s="6" customFormat="1" ht="38.25">
      <c r="A511" s="50">
        <v>439</v>
      </c>
      <c r="B511" s="50" t="s">
        <v>517</v>
      </c>
      <c r="C511" s="51" t="s">
        <v>447</v>
      </c>
      <c r="D511" s="51" t="s">
        <v>448</v>
      </c>
      <c r="E511" s="52">
        <v>72.9</v>
      </c>
      <c r="F511" s="51">
        <f>(9378.81-9378.81)*1.2</f>
        <v>0</v>
      </c>
      <c r="G511" s="51">
        <f>9378.81*1.2</f>
        <v>11254.571999999998</v>
      </c>
      <c r="H511" s="51">
        <f>683715.25*1.2</f>
        <v>820458.2999999999</v>
      </c>
      <c r="I511" s="51">
        <f>(683715.25-683715.25)*1.2</f>
        <v>0</v>
      </c>
      <c r="J511" s="51">
        <f>683715.25*1.2</f>
        <v>820458.2999999999</v>
      </c>
      <c r="K511" s="18"/>
      <c r="L511" s="19"/>
      <c r="M511" s="18"/>
      <c r="N511" s="12"/>
    </row>
    <row r="512" spans="1:14" s="6" customFormat="1" ht="114.75">
      <c r="A512" s="50">
        <v>440</v>
      </c>
      <c r="B512" s="50" t="s">
        <v>449</v>
      </c>
      <c r="C512" s="51" t="s">
        <v>450</v>
      </c>
      <c r="D512" s="51" t="s">
        <v>131</v>
      </c>
      <c r="E512" s="52">
        <v>0.32</v>
      </c>
      <c r="F512" s="51">
        <f>(4145.06-0)*1.2</f>
        <v>4974.072</v>
      </c>
      <c r="G512" s="51">
        <f>0*1.2</f>
        <v>0</v>
      </c>
      <c r="H512" s="51">
        <f>1326.42*1.2</f>
        <v>1591.704</v>
      </c>
      <c r="I512" s="51">
        <f>(1326.42-0)*1.2</f>
        <v>1591.704</v>
      </c>
      <c r="J512" s="51">
        <f>0*1.2</f>
        <v>0</v>
      </c>
      <c r="K512" s="18"/>
      <c r="L512" s="19"/>
      <c r="M512" s="18"/>
      <c r="N512" s="12"/>
    </row>
    <row r="513" spans="1:14" s="6" customFormat="1" ht="25.5">
      <c r="A513" s="53">
        <v>441</v>
      </c>
      <c r="B513" s="53" t="s">
        <v>517</v>
      </c>
      <c r="C513" s="54" t="s">
        <v>451</v>
      </c>
      <c r="D513" s="54" t="s">
        <v>448</v>
      </c>
      <c r="E513" s="55">
        <v>32</v>
      </c>
      <c r="F513" s="54">
        <f>(2247.46-2247.46)*1.2</f>
        <v>0</v>
      </c>
      <c r="G513" s="54">
        <f>2247.46*1.2</f>
        <v>2696.9519999999998</v>
      </c>
      <c r="H513" s="54">
        <f>71918.72*1.2</f>
        <v>86302.46399999999</v>
      </c>
      <c r="I513" s="54">
        <f>(71918.72-71918.72)*1.2</f>
        <v>0</v>
      </c>
      <c r="J513" s="54">
        <f>71918.72*1.2</f>
        <v>86302.46399999999</v>
      </c>
      <c r="K513" s="18"/>
      <c r="L513" s="19"/>
      <c r="M513" s="18"/>
      <c r="N513" s="12"/>
    </row>
    <row r="514" spans="1:14" s="6" customFormat="1" ht="18.75" customHeight="1">
      <c r="A514" s="79" t="s">
        <v>452</v>
      </c>
      <c r="B514" s="80"/>
      <c r="C514" s="80"/>
      <c r="D514" s="80"/>
      <c r="E514" s="80"/>
      <c r="F514" s="80"/>
      <c r="G514" s="80"/>
      <c r="H514" s="80"/>
      <c r="I514" s="80"/>
      <c r="J514" s="80"/>
      <c r="K514" s="18"/>
      <c r="L514" s="19"/>
      <c r="M514" s="18"/>
      <c r="N514" s="12"/>
    </row>
    <row r="515" spans="1:14" s="6" customFormat="1" ht="178.5">
      <c r="A515" s="53">
        <v>442</v>
      </c>
      <c r="B515" s="53" t="s">
        <v>453</v>
      </c>
      <c r="C515" s="54" t="s">
        <v>454</v>
      </c>
      <c r="D515" s="54" t="s">
        <v>31</v>
      </c>
      <c r="E515" s="55">
        <v>1.09</v>
      </c>
      <c r="F515" s="54">
        <f>(522874.58-504594)*1.2</f>
        <v>21936.696000000018</v>
      </c>
      <c r="G515" s="54">
        <f>504594*1.2</f>
        <v>605512.7999999999</v>
      </c>
      <c r="H515" s="54">
        <f>569933.29*1.2</f>
        <v>683919.948</v>
      </c>
      <c r="I515" s="54">
        <f>(569933.29-550007.46)*1.2</f>
        <v>23910.99600000009</v>
      </c>
      <c r="J515" s="54">
        <f>550007.46*1.2</f>
        <v>660008.9519999999</v>
      </c>
      <c r="K515" s="18"/>
      <c r="L515" s="19"/>
      <c r="M515" s="18"/>
      <c r="N515" s="12"/>
    </row>
    <row r="516" spans="1:14" s="6" customFormat="1" ht="18.75" customHeight="1">
      <c r="A516" s="79" t="s">
        <v>455</v>
      </c>
      <c r="B516" s="80"/>
      <c r="C516" s="80"/>
      <c r="D516" s="80"/>
      <c r="E516" s="80"/>
      <c r="F516" s="80"/>
      <c r="G516" s="80"/>
      <c r="H516" s="80"/>
      <c r="I516" s="80"/>
      <c r="J516" s="80"/>
      <c r="K516" s="18"/>
      <c r="L516" s="19"/>
      <c r="M516" s="18"/>
      <c r="N516" s="12"/>
    </row>
    <row r="517" spans="1:14" s="6" customFormat="1" ht="140.25">
      <c r="A517" s="50">
        <v>443</v>
      </c>
      <c r="B517" s="50" t="s">
        <v>456</v>
      </c>
      <c r="C517" s="51" t="s">
        <v>457</v>
      </c>
      <c r="D517" s="51" t="s">
        <v>81</v>
      </c>
      <c r="E517" s="52">
        <v>0.7395</v>
      </c>
      <c r="F517" s="51">
        <f>(14212.52-7316.91)*1.2</f>
        <v>8274.732</v>
      </c>
      <c r="G517" s="51">
        <f>7316.91*1.2</f>
        <v>8780.292</v>
      </c>
      <c r="H517" s="51">
        <f>10510.16*1.2</f>
        <v>12612.192</v>
      </c>
      <c r="I517" s="51">
        <f>(10510.16-5410.86)*1.2</f>
        <v>6119.16</v>
      </c>
      <c r="J517" s="51">
        <f>5410.86*1.2</f>
        <v>6493.031999999999</v>
      </c>
      <c r="K517" s="18"/>
      <c r="L517" s="19"/>
      <c r="M517" s="18"/>
      <c r="N517" s="12"/>
    </row>
    <row r="518" spans="1:14" s="6" customFormat="1" ht="127.5">
      <c r="A518" s="50">
        <v>444</v>
      </c>
      <c r="B518" s="50" t="s">
        <v>458</v>
      </c>
      <c r="C518" s="51" t="s">
        <v>459</v>
      </c>
      <c r="D518" s="51" t="s">
        <v>81</v>
      </c>
      <c r="E518" s="52">
        <v>0.97614</v>
      </c>
      <c r="F518" s="51">
        <f>(12687.7-7546.86)*1.2</f>
        <v>6169.008000000001</v>
      </c>
      <c r="G518" s="51">
        <f>7546.86*1.2</f>
        <v>9056.232</v>
      </c>
      <c r="H518" s="51">
        <f>12384.97*1.2</f>
        <v>14861.963999999998</v>
      </c>
      <c r="I518" s="51">
        <f>(12384.97-7366.79)*1.2</f>
        <v>6021.815999999999</v>
      </c>
      <c r="J518" s="51">
        <f>7366.79*1.2</f>
        <v>8840.148</v>
      </c>
      <c r="K518" s="18"/>
      <c r="L518" s="19"/>
      <c r="M518" s="18"/>
      <c r="N518" s="12"/>
    </row>
    <row r="519" spans="1:14" s="6" customFormat="1" ht="153">
      <c r="A519" s="50">
        <v>445</v>
      </c>
      <c r="B519" s="50" t="s">
        <v>460</v>
      </c>
      <c r="C519" s="51" t="s">
        <v>461</v>
      </c>
      <c r="D519" s="51" t="s">
        <v>31</v>
      </c>
      <c r="E519" s="52">
        <v>0.472</v>
      </c>
      <c r="F519" s="51">
        <f>(27478.01-9787.36)*1.2</f>
        <v>21228.779999999995</v>
      </c>
      <c r="G519" s="51">
        <f>9787.36*1.2</f>
        <v>11744.832</v>
      </c>
      <c r="H519" s="51">
        <f>12969.62*1.2</f>
        <v>15563.544</v>
      </c>
      <c r="I519" s="51">
        <f>(12969.62-4619.63)*1.2</f>
        <v>10019.988000000001</v>
      </c>
      <c r="J519" s="51">
        <f>4619.63*1.2</f>
        <v>5543.556</v>
      </c>
      <c r="K519" s="18"/>
      <c r="L519" s="19"/>
      <c r="M519" s="18"/>
      <c r="N519" s="12"/>
    </row>
    <row r="520" spans="1:14" s="6" customFormat="1" ht="12.75">
      <c r="A520" s="50">
        <v>446</v>
      </c>
      <c r="B520" s="50" t="s">
        <v>462</v>
      </c>
      <c r="C520" s="51" t="s">
        <v>463</v>
      </c>
      <c r="D520" s="51" t="s">
        <v>60</v>
      </c>
      <c r="E520" s="52">
        <v>49.56</v>
      </c>
      <c r="F520" s="51">
        <f>(102.84-102.84)*1.2</f>
        <v>0</v>
      </c>
      <c r="G520" s="51">
        <f>102.84*1.2</f>
        <v>123.408</v>
      </c>
      <c r="H520" s="51">
        <f>5096.75*1.2</f>
        <v>6116.099999999999</v>
      </c>
      <c r="I520" s="51">
        <f>(5096.75-5096.75)*1.2</f>
        <v>0</v>
      </c>
      <c r="J520" s="51">
        <f>5096.75*1.2</f>
        <v>6116.099999999999</v>
      </c>
      <c r="K520" s="18"/>
      <c r="L520" s="19"/>
      <c r="M520" s="18"/>
      <c r="N520" s="12"/>
    </row>
    <row r="521" spans="1:14" s="6" customFormat="1" ht="114.75">
      <c r="A521" s="50">
        <v>447</v>
      </c>
      <c r="B521" s="50" t="s">
        <v>464</v>
      </c>
      <c r="C521" s="51" t="s">
        <v>465</v>
      </c>
      <c r="D521" s="51" t="s">
        <v>131</v>
      </c>
      <c r="E521" s="52">
        <v>1.726</v>
      </c>
      <c r="F521" s="51">
        <f>(2313.53-34.43)*1.2</f>
        <v>2734.9200000000005</v>
      </c>
      <c r="G521" s="51">
        <f>34.43*1.2</f>
        <v>41.315999999999995</v>
      </c>
      <c r="H521" s="51">
        <f>3993.15*1.2</f>
        <v>4791.78</v>
      </c>
      <c r="I521" s="51">
        <f>(3993.15-59.43)*1.2</f>
        <v>4720.464</v>
      </c>
      <c r="J521" s="51">
        <f>59.43*1.2</f>
        <v>71.316</v>
      </c>
      <c r="K521" s="18"/>
      <c r="L521" s="19"/>
      <c r="M521" s="18"/>
      <c r="N521" s="12"/>
    </row>
    <row r="522" spans="1:14" s="6" customFormat="1" ht="12.75">
      <c r="A522" s="50">
        <v>448</v>
      </c>
      <c r="B522" s="50" t="s">
        <v>466</v>
      </c>
      <c r="C522" s="51" t="s">
        <v>467</v>
      </c>
      <c r="D522" s="51" t="s">
        <v>134</v>
      </c>
      <c r="E522" s="52">
        <v>193.3</v>
      </c>
      <c r="F522" s="51">
        <f>(24.4-24.4)*1.2</f>
        <v>0</v>
      </c>
      <c r="G522" s="51">
        <f>24.4*1.2</f>
        <v>29.279999999999998</v>
      </c>
      <c r="H522" s="51">
        <f>4716.52*1.2</f>
        <v>5659.8240000000005</v>
      </c>
      <c r="I522" s="51">
        <f>(4716.52-4716.52)*1.2</f>
        <v>0</v>
      </c>
      <c r="J522" s="51">
        <f>4716.52*1.2</f>
        <v>5659.8240000000005</v>
      </c>
      <c r="K522" s="18"/>
      <c r="L522" s="19"/>
      <c r="M522" s="18"/>
      <c r="N522" s="12"/>
    </row>
    <row r="523" spans="1:14" s="6" customFormat="1" ht="293.25">
      <c r="A523" s="50">
        <v>449</v>
      </c>
      <c r="B523" s="50" t="s">
        <v>468</v>
      </c>
      <c r="C523" s="51" t="s">
        <v>469</v>
      </c>
      <c r="D523" s="51" t="s">
        <v>31</v>
      </c>
      <c r="E523" s="52">
        <v>2.01</v>
      </c>
      <c r="F523" s="51">
        <f>(18324.73-806.99)*1.2</f>
        <v>21021.287999999997</v>
      </c>
      <c r="G523" s="51">
        <f>806.99*1.2</f>
        <v>968.3879999999999</v>
      </c>
      <c r="H523" s="51">
        <f>36832.71*1.2</f>
        <v>44199.252</v>
      </c>
      <c r="I523" s="51">
        <f>(36832.71-1622.05)*1.2</f>
        <v>42252.791999999994</v>
      </c>
      <c r="J523" s="51">
        <f>1622.05*1.2</f>
        <v>1946.4599999999998</v>
      </c>
      <c r="K523" s="18"/>
      <c r="L523" s="19"/>
      <c r="M523" s="18"/>
      <c r="N523" s="12"/>
    </row>
    <row r="524" spans="1:14" s="6" customFormat="1" ht="25.5">
      <c r="A524" s="50">
        <v>450</v>
      </c>
      <c r="B524" s="50" t="s">
        <v>470</v>
      </c>
      <c r="C524" s="51" t="s">
        <v>471</v>
      </c>
      <c r="D524" s="51" t="s">
        <v>38</v>
      </c>
      <c r="E524" s="52">
        <v>0.0519</v>
      </c>
      <c r="F524" s="51">
        <f>(89159.15-89159.24)*1.2</f>
        <v>-0.10800000001327134</v>
      </c>
      <c r="G524" s="51">
        <f>89159.24*1.2</f>
        <v>106991.088</v>
      </c>
      <c r="H524" s="51">
        <f>4627.36*1.2</f>
        <v>5552.831999999999</v>
      </c>
      <c r="I524" s="51">
        <f>(4627.36-4627.36)*1.2</f>
        <v>0</v>
      </c>
      <c r="J524" s="51">
        <f>4627.36*1.2</f>
        <v>5552.831999999999</v>
      </c>
      <c r="K524" s="18"/>
      <c r="L524" s="19"/>
      <c r="M524" s="18"/>
      <c r="N524" s="12"/>
    </row>
    <row r="525" spans="1:14" s="6" customFormat="1" ht="18" customHeight="1">
      <c r="A525" s="77" t="s">
        <v>472</v>
      </c>
      <c r="B525" s="78"/>
      <c r="C525" s="78"/>
      <c r="D525" s="78"/>
      <c r="E525" s="78"/>
      <c r="F525" s="78"/>
      <c r="G525" s="78"/>
      <c r="H525" s="78"/>
      <c r="I525" s="78"/>
      <c r="J525" s="78"/>
      <c r="K525" s="18"/>
      <c r="L525" s="19"/>
      <c r="M525" s="18"/>
      <c r="N525" s="12"/>
    </row>
    <row r="526" spans="1:14" s="6" customFormat="1" ht="165.75">
      <c r="A526" s="50">
        <v>451</v>
      </c>
      <c r="B526" s="50" t="s">
        <v>473</v>
      </c>
      <c r="C526" s="51" t="s">
        <v>474</v>
      </c>
      <c r="D526" s="51" t="s">
        <v>31</v>
      </c>
      <c r="E526" s="52">
        <v>1.393</v>
      </c>
      <c r="F526" s="51">
        <f>(37145.25-11558.82)*1.2</f>
        <v>30703.716</v>
      </c>
      <c r="G526" s="51">
        <f>11558.82*1.2</f>
        <v>13870.583999999999</v>
      </c>
      <c r="H526" s="51">
        <f>51743.34*1.2</f>
        <v>62092.007999999994</v>
      </c>
      <c r="I526" s="51">
        <f>(51743.34-16101.44)*1.2</f>
        <v>42770.27999999999</v>
      </c>
      <c r="J526" s="51">
        <f>16101.44*1.2</f>
        <v>19321.728</v>
      </c>
      <c r="K526" s="18"/>
      <c r="L526" s="19"/>
      <c r="M526" s="18"/>
      <c r="N526" s="12"/>
    </row>
    <row r="527" spans="1:14" s="6" customFormat="1" ht="12.75">
      <c r="A527" s="53">
        <v>452</v>
      </c>
      <c r="B527" s="53" t="s">
        <v>462</v>
      </c>
      <c r="C527" s="54" t="s">
        <v>463</v>
      </c>
      <c r="D527" s="54" t="s">
        <v>60</v>
      </c>
      <c r="E527" s="55">
        <v>146.3</v>
      </c>
      <c r="F527" s="54">
        <f>(102.84-102.84)*1.2</f>
        <v>0</v>
      </c>
      <c r="G527" s="54">
        <f>102.84*1.2</f>
        <v>123.408</v>
      </c>
      <c r="H527" s="54">
        <f>15045.49*1.2</f>
        <v>18054.588</v>
      </c>
      <c r="I527" s="54">
        <f>(15045.49-15045.49)*1.2</f>
        <v>0</v>
      </c>
      <c r="J527" s="54">
        <f>15045.49*1.2</f>
        <v>18054.588</v>
      </c>
      <c r="K527" s="18"/>
      <c r="L527" s="19"/>
      <c r="M527" s="18"/>
      <c r="N527" s="12"/>
    </row>
    <row r="528" spans="1:14" s="6" customFormat="1" ht="12.75">
      <c r="A528" s="73" t="s">
        <v>475</v>
      </c>
      <c r="B528" s="74"/>
      <c r="C528" s="74"/>
      <c r="D528" s="74"/>
      <c r="E528" s="74"/>
      <c r="F528" s="74"/>
      <c r="G528" s="74"/>
      <c r="H528" s="74"/>
      <c r="I528" s="74"/>
      <c r="J528" s="56">
        <v>15771025.56</v>
      </c>
      <c r="K528" s="18"/>
      <c r="L528" s="19"/>
      <c r="M528" s="18"/>
      <c r="N528" s="12"/>
    </row>
    <row r="529" spans="1:14" s="6" customFormat="1" ht="12.75">
      <c r="A529" s="73" t="s">
        <v>476</v>
      </c>
      <c r="B529" s="74"/>
      <c r="C529" s="74"/>
      <c r="D529" s="74"/>
      <c r="E529" s="74"/>
      <c r="F529" s="74"/>
      <c r="G529" s="74"/>
      <c r="H529" s="74"/>
      <c r="I529" s="74"/>
      <c r="J529" s="56">
        <v>3249681.15</v>
      </c>
      <c r="K529" s="18"/>
      <c r="L529" s="19"/>
      <c r="M529" s="18"/>
      <c r="N529" s="12"/>
    </row>
    <row r="530" spans="1:14" s="6" customFormat="1" ht="12.75">
      <c r="A530" s="73" t="s">
        <v>477</v>
      </c>
      <c r="B530" s="74"/>
      <c r="C530" s="74"/>
      <c r="D530" s="74"/>
      <c r="E530" s="74"/>
      <c r="F530" s="74"/>
      <c r="G530" s="74"/>
      <c r="H530" s="74"/>
      <c r="I530" s="74"/>
      <c r="J530" s="56"/>
      <c r="K530" s="18"/>
      <c r="L530" s="19"/>
      <c r="M530" s="18"/>
      <c r="N530" s="12"/>
    </row>
    <row r="531" spans="1:14" s="6" customFormat="1" ht="12.75">
      <c r="A531" s="73" t="s">
        <v>478</v>
      </c>
      <c r="B531" s="74"/>
      <c r="C531" s="74"/>
      <c r="D531" s="74"/>
      <c r="E531" s="74"/>
      <c r="F531" s="74"/>
      <c r="G531" s="74"/>
      <c r="H531" s="74"/>
      <c r="I531" s="74"/>
      <c r="J531" s="56">
        <v>93063.42</v>
      </c>
      <c r="K531" s="18"/>
      <c r="L531" s="19"/>
      <c r="M531" s="18"/>
      <c r="N531" s="12"/>
    </row>
    <row r="532" spans="1:14" s="6" customFormat="1" ht="33.75" customHeight="1">
      <c r="A532" s="73" t="s">
        <v>479</v>
      </c>
      <c r="B532" s="74"/>
      <c r="C532" s="74"/>
      <c r="D532" s="74"/>
      <c r="E532" s="74"/>
      <c r="F532" s="74"/>
      <c r="G532" s="74"/>
      <c r="H532" s="74"/>
      <c r="I532" s="74"/>
      <c r="J532" s="56">
        <v>83239.99</v>
      </c>
      <c r="K532" s="18"/>
      <c r="L532" s="19"/>
      <c r="M532" s="18"/>
      <c r="N532" s="12"/>
    </row>
    <row r="533" spans="1:14" s="6" customFormat="1" ht="33.75" customHeight="1">
      <c r="A533" s="73" t="s">
        <v>480</v>
      </c>
      <c r="B533" s="74"/>
      <c r="C533" s="74"/>
      <c r="D533" s="74"/>
      <c r="E533" s="74"/>
      <c r="F533" s="74"/>
      <c r="G533" s="74"/>
      <c r="H533" s="74"/>
      <c r="I533" s="74"/>
      <c r="J533" s="56">
        <v>1695378.77</v>
      </c>
      <c r="K533" s="18"/>
      <c r="L533" s="19"/>
      <c r="M533" s="18"/>
      <c r="N533" s="12"/>
    </row>
    <row r="534" spans="1:14" s="6" customFormat="1" ht="12.75">
      <c r="A534" s="73" t="s">
        <v>481</v>
      </c>
      <c r="B534" s="74"/>
      <c r="C534" s="74"/>
      <c r="D534" s="74"/>
      <c r="E534" s="74"/>
      <c r="F534" s="74"/>
      <c r="G534" s="74"/>
      <c r="H534" s="74"/>
      <c r="I534" s="74"/>
      <c r="J534" s="56">
        <v>160088.47</v>
      </c>
      <c r="K534" s="18"/>
      <c r="L534" s="19"/>
      <c r="M534" s="18"/>
      <c r="N534" s="12"/>
    </row>
    <row r="535" spans="1:14" s="6" customFormat="1" ht="12.75">
      <c r="A535" s="73" t="s">
        <v>482</v>
      </c>
      <c r="B535" s="74"/>
      <c r="C535" s="74"/>
      <c r="D535" s="74"/>
      <c r="E535" s="74"/>
      <c r="F535" s="74"/>
      <c r="G535" s="74"/>
      <c r="H535" s="74"/>
      <c r="I535" s="74"/>
      <c r="J535" s="56">
        <v>102992.79</v>
      </c>
      <c r="K535" s="18"/>
      <c r="L535" s="19"/>
      <c r="M535" s="18"/>
      <c r="N535" s="12"/>
    </row>
    <row r="536" spans="1:14" s="6" customFormat="1" ht="33.75" customHeight="1">
      <c r="A536" s="73" t="s">
        <v>483</v>
      </c>
      <c r="B536" s="74"/>
      <c r="C536" s="74"/>
      <c r="D536" s="74"/>
      <c r="E536" s="74"/>
      <c r="F536" s="74"/>
      <c r="G536" s="74"/>
      <c r="H536" s="74"/>
      <c r="I536" s="74"/>
      <c r="J536" s="56">
        <v>1044743.22</v>
      </c>
      <c r="K536" s="18"/>
      <c r="L536" s="19"/>
      <c r="M536" s="18"/>
      <c r="N536" s="12"/>
    </row>
    <row r="537" spans="1:14" s="6" customFormat="1" ht="12.75">
      <c r="A537" s="73" t="s">
        <v>484</v>
      </c>
      <c r="B537" s="74"/>
      <c r="C537" s="74"/>
      <c r="D537" s="74"/>
      <c r="E537" s="74"/>
      <c r="F537" s="74"/>
      <c r="G537" s="74"/>
      <c r="H537" s="74"/>
      <c r="I537" s="74"/>
      <c r="J537" s="56">
        <v>49508.45</v>
      </c>
      <c r="K537" s="18"/>
      <c r="L537" s="19"/>
      <c r="M537" s="18"/>
      <c r="N537" s="12"/>
    </row>
    <row r="538" spans="1:14" s="6" customFormat="1" ht="12.75">
      <c r="A538" s="73" t="s">
        <v>485</v>
      </c>
      <c r="B538" s="74"/>
      <c r="C538" s="74"/>
      <c r="D538" s="74"/>
      <c r="E538" s="74"/>
      <c r="F538" s="74"/>
      <c r="G538" s="74"/>
      <c r="H538" s="74"/>
      <c r="I538" s="74"/>
      <c r="J538" s="56">
        <v>20666.04</v>
      </c>
      <c r="K538" s="18"/>
      <c r="L538" s="19"/>
      <c r="M538" s="18"/>
      <c r="N538" s="12"/>
    </row>
    <row r="539" spans="1:14" s="6" customFormat="1" ht="12.75">
      <c r="A539" s="73" t="s">
        <v>486</v>
      </c>
      <c r="B539" s="74"/>
      <c r="C539" s="74"/>
      <c r="D539" s="74"/>
      <c r="E539" s="74"/>
      <c r="F539" s="74"/>
      <c r="G539" s="74"/>
      <c r="H539" s="74"/>
      <c r="I539" s="74"/>
      <c r="J539" s="56">
        <v>1758128.62</v>
      </c>
      <c r="K539" s="18"/>
      <c r="L539" s="19"/>
      <c r="M539" s="18"/>
      <c r="N539" s="12"/>
    </row>
    <row r="540" spans="1:14" s="6" customFormat="1" ht="12.75">
      <c r="A540" s="73" t="s">
        <v>477</v>
      </c>
      <c r="B540" s="74"/>
      <c r="C540" s="74"/>
      <c r="D540" s="74"/>
      <c r="E540" s="74"/>
      <c r="F540" s="74"/>
      <c r="G540" s="74"/>
      <c r="H540" s="74"/>
      <c r="I540" s="74"/>
      <c r="J540" s="56"/>
      <c r="K540" s="18"/>
      <c r="L540" s="19"/>
      <c r="M540" s="18"/>
      <c r="N540" s="12"/>
    </row>
    <row r="541" spans="1:14" s="6" customFormat="1" ht="33.75" customHeight="1">
      <c r="A541" s="73" t="s">
        <v>487</v>
      </c>
      <c r="B541" s="74"/>
      <c r="C541" s="74"/>
      <c r="D541" s="74"/>
      <c r="E541" s="74"/>
      <c r="F541" s="74"/>
      <c r="G541" s="74"/>
      <c r="H541" s="74"/>
      <c r="I541" s="74"/>
      <c r="J541" s="56">
        <v>838085.12</v>
      </c>
      <c r="K541" s="18"/>
      <c r="L541" s="19"/>
      <c r="M541" s="18"/>
      <c r="N541" s="12"/>
    </row>
    <row r="542" spans="1:14" s="6" customFormat="1" ht="12.75">
      <c r="A542" s="73" t="s">
        <v>488</v>
      </c>
      <c r="B542" s="74"/>
      <c r="C542" s="74"/>
      <c r="D542" s="74"/>
      <c r="E542" s="74"/>
      <c r="F542" s="74"/>
      <c r="G542" s="74"/>
      <c r="H542" s="74"/>
      <c r="I542" s="74"/>
      <c r="J542" s="56">
        <v>80044.24</v>
      </c>
      <c r="K542" s="18"/>
      <c r="L542" s="19"/>
      <c r="M542" s="18"/>
      <c r="N542" s="12"/>
    </row>
    <row r="543" spans="1:14" s="6" customFormat="1" ht="12.75">
      <c r="A543" s="73" t="s">
        <v>489</v>
      </c>
      <c r="B543" s="74"/>
      <c r="C543" s="74"/>
      <c r="D543" s="74"/>
      <c r="E543" s="74"/>
      <c r="F543" s="74"/>
      <c r="G543" s="74"/>
      <c r="H543" s="74"/>
      <c r="I543" s="74"/>
      <c r="J543" s="56">
        <v>94.15</v>
      </c>
      <c r="K543" s="18"/>
      <c r="L543" s="19"/>
      <c r="M543" s="18"/>
      <c r="N543" s="12"/>
    </row>
    <row r="544" spans="1:14" s="6" customFormat="1" ht="33.75" customHeight="1">
      <c r="A544" s="73" t="s">
        <v>490</v>
      </c>
      <c r="B544" s="74"/>
      <c r="C544" s="74"/>
      <c r="D544" s="74"/>
      <c r="E544" s="74"/>
      <c r="F544" s="74"/>
      <c r="G544" s="74"/>
      <c r="H544" s="74"/>
      <c r="I544" s="74"/>
      <c r="J544" s="56">
        <v>54840.46</v>
      </c>
      <c r="K544" s="18"/>
      <c r="L544" s="19"/>
      <c r="M544" s="18"/>
      <c r="N544" s="12"/>
    </row>
    <row r="545" spans="1:14" s="6" customFormat="1" ht="33.75" customHeight="1">
      <c r="A545" s="73" t="s">
        <v>491</v>
      </c>
      <c r="B545" s="74"/>
      <c r="C545" s="74"/>
      <c r="D545" s="74"/>
      <c r="E545" s="74"/>
      <c r="F545" s="74"/>
      <c r="G545" s="74"/>
      <c r="H545" s="74"/>
      <c r="I545" s="74"/>
      <c r="J545" s="56">
        <v>596996.12</v>
      </c>
      <c r="K545" s="18"/>
      <c r="L545" s="19"/>
      <c r="M545" s="18"/>
      <c r="N545" s="12"/>
    </row>
    <row r="546" spans="1:14" s="6" customFormat="1" ht="12.75">
      <c r="A546" s="73" t="s">
        <v>492</v>
      </c>
      <c r="B546" s="74"/>
      <c r="C546" s="74"/>
      <c r="D546" s="74"/>
      <c r="E546" s="74"/>
      <c r="F546" s="74"/>
      <c r="G546" s="74"/>
      <c r="H546" s="74"/>
      <c r="I546" s="74"/>
      <c r="J546" s="56">
        <v>63380.18</v>
      </c>
      <c r="K546" s="18"/>
      <c r="L546" s="19"/>
      <c r="M546" s="18"/>
      <c r="N546" s="12"/>
    </row>
    <row r="547" spans="1:14" s="6" customFormat="1" ht="12.75">
      <c r="A547" s="73" t="s">
        <v>493</v>
      </c>
      <c r="B547" s="74"/>
      <c r="C547" s="74"/>
      <c r="D547" s="74"/>
      <c r="E547" s="74"/>
      <c r="F547" s="74"/>
      <c r="G547" s="74"/>
      <c r="H547" s="74"/>
      <c r="I547" s="74"/>
      <c r="J547" s="56">
        <v>29977.6</v>
      </c>
      <c r="K547" s="18"/>
      <c r="L547" s="19"/>
      <c r="M547" s="18"/>
      <c r="N547" s="12"/>
    </row>
    <row r="548" spans="1:14" s="6" customFormat="1" ht="12.75">
      <c r="A548" s="73" t="s">
        <v>494</v>
      </c>
      <c r="B548" s="74"/>
      <c r="C548" s="74"/>
      <c r="D548" s="74"/>
      <c r="E548" s="74"/>
      <c r="F548" s="74"/>
      <c r="G548" s="74"/>
      <c r="H548" s="74"/>
      <c r="I548" s="74"/>
      <c r="J548" s="56">
        <v>82185.88</v>
      </c>
      <c r="K548" s="18"/>
      <c r="L548" s="19"/>
      <c r="M548" s="18"/>
      <c r="N548" s="12"/>
    </row>
    <row r="549" spans="1:14" s="6" customFormat="1" ht="12.75">
      <c r="A549" s="73" t="s">
        <v>495</v>
      </c>
      <c r="B549" s="74"/>
      <c r="C549" s="74"/>
      <c r="D549" s="74"/>
      <c r="E549" s="74"/>
      <c r="F549" s="74"/>
      <c r="G549" s="74"/>
      <c r="H549" s="74"/>
      <c r="I549" s="74"/>
      <c r="J549" s="56">
        <v>12524.87</v>
      </c>
      <c r="K549" s="18"/>
      <c r="L549" s="19"/>
      <c r="M549" s="18"/>
      <c r="N549" s="12"/>
    </row>
    <row r="550" spans="1:14" s="6" customFormat="1" ht="12.75">
      <c r="A550" s="75" t="s">
        <v>496</v>
      </c>
      <c r="B550" s="76"/>
      <c r="C550" s="76"/>
      <c r="D550" s="76"/>
      <c r="E550" s="76"/>
      <c r="F550" s="76"/>
      <c r="G550" s="76"/>
      <c r="H550" s="76"/>
      <c r="I550" s="76"/>
      <c r="J550" s="57"/>
      <c r="K550" s="18"/>
      <c r="L550" s="19"/>
      <c r="M550" s="18"/>
      <c r="N550" s="12"/>
    </row>
    <row r="551" spans="1:14" s="6" customFormat="1" ht="33.75" customHeight="1">
      <c r="A551" s="73" t="s">
        <v>497</v>
      </c>
      <c r="B551" s="74"/>
      <c r="C551" s="74"/>
      <c r="D551" s="74"/>
      <c r="E551" s="74"/>
      <c r="F551" s="74"/>
      <c r="G551" s="74"/>
      <c r="H551" s="74"/>
      <c r="I551" s="74"/>
      <c r="J551" s="56">
        <v>7871017.87</v>
      </c>
      <c r="K551" s="18"/>
      <c r="L551" s="19"/>
      <c r="M551" s="18"/>
      <c r="N551" s="12"/>
    </row>
    <row r="552" spans="1:14" s="6" customFormat="1" ht="33.75" customHeight="1">
      <c r="A552" s="73" t="s">
        <v>498</v>
      </c>
      <c r="B552" s="74"/>
      <c r="C552" s="74"/>
      <c r="D552" s="74"/>
      <c r="E552" s="74"/>
      <c r="F552" s="74"/>
      <c r="G552" s="74"/>
      <c r="H552" s="74"/>
      <c r="I552" s="74"/>
      <c r="J552" s="56">
        <v>5099407.26</v>
      </c>
      <c r="K552" s="18"/>
      <c r="L552" s="19"/>
      <c r="M552" s="18"/>
      <c r="N552" s="12"/>
    </row>
    <row r="553" spans="1:14" s="6" customFormat="1" ht="33.75" customHeight="1">
      <c r="A553" s="73" t="s">
        <v>499</v>
      </c>
      <c r="B553" s="74"/>
      <c r="C553" s="74"/>
      <c r="D553" s="74"/>
      <c r="E553" s="74"/>
      <c r="F553" s="74"/>
      <c r="G553" s="74"/>
      <c r="H553" s="74"/>
      <c r="I553" s="74"/>
      <c r="J553" s="56">
        <v>3079886.2</v>
      </c>
      <c r="K553" s="18"/>
      <c r="L553" s="19"/>
      <c r="M553" s="18"/>
      <c r="N553" s="12"/>
    </row>
    <row r="554" spans="1:14" s="6" customFormat="1" ht="33.75" customHeight="1">
      <c r="A554" s="73" t="s">
        <v>500</v>
      </c>
      <c r="B554" s="74"/>
      <c r="C554" s="74"/>
      <c r="D554" s="74"/>
      <c r="E554" s="74"/>
      <c r="F554" s="74"/>
      <c r="G554" s="74"/>
      <c r="H554" s="74"/>
      <c r="I554" s="74"/>
      <c r="J554" s="56">
        <v>2470100.68</v>
      </c>
      <c r="K554" s="18"/>
      <c r="L554" s="19"/>
      <c r="M554" s="18"/>
      <c r="N554" s="12"/>
    </row>
    <row r="555" spans="1:14" s="6" customFormat="1" ht="33.75" customHeight="1">
      <c r="A555" s="73" t="s">
        <v>501</v>
      </c>
      <c r="B555" s="74"/>
      <c r="C555" s="74"/>
      <c r="D555" s="74"/>
      <c r="E555" s="74"/>
      <c r="F555" s="74"/>
      <c r="G555" s="74"/>
      <c r="H555" s="74"/>
      <c r="I555" s="74"/>
      <c r="J555" s="56">
        <v>132277.89</v>
      </c>
      <c r="K555" s="18"/>
      <c r="L555" s="19"/>
      <c r="M555" s="18"/>
      <c r="N555" s="12"/>
    </row>
    <row r="556" spans="1:14" s="6" customFormat="1" ht="33.75" customHeight="1">
      <c r="A556" s="73" t="s">
        <v>502</v>
      </c>
      <c r="B556" s="74"/>
      <c r="C556" s="74"/>
      <c r="D556" s="74"/>
      <c r="E556" s="74"/>
      <c r="F556" s="74"/>
      <c r="G556" s="74"/>
      <c r="H556" s="74"/>
      <c r="I556" s="74"/>
      <c r="J556" s="56">
        <v>367476.9</v>
      </c>
      <c r="K556" s="18"/>
      <c r="L556" s="19"/>
      <c r="M556" s="18"/>
      <c r="N556" s="12"/>
    </row>
    <row r="557" spans="1:14" s="6" customFormat="1" ht="33.75" customHeight="1">
      <c r="A557" s="73" t="s">
        <v>503</v>
      </c>
      <c r="B557" s="74"/>
      <c r="C557" s="74"/>
      <c r="D557" s="74"/>
      <c r="E557" s="74"/>
      <c r="F557" s="74"/>
      <c r="G557" s="74"/>
      <c r="H557" s="74"/>
      <c r="I557" s="74"/>
      <c r="J557" s="56">
        <v>2813.24</v>
      </c>
      <c r="K557" s="18"/>
      <c r="L557" s="19"/>
      <c r="M557" s="18"/>
      <c r="N557" s="12"/>
    </row>
    <row r="558" spans="1:14" s="6" customFormat="1" ht="33.75" customHeight="1">
      <c r="A558" s="73" t="s">
        <v>504</v>
      </c>
      <c r="B558" s="74"/>
      <c r="C558" s="74"/>
      <c r="D558" s="74"/>
      <c r="E558" s="74"/>
      <c r="F558" s="74"/>
      <c r="G558" s="74"/>
      <c r="H558" s="74"/>
      <c r="I558" s="74"/>
      <c r="J558" s="56">
        <v>297901.74</v>
      </c>
      <c r="K558" s="18"/>
      <c r="L558" s="19"/>
      <c r="M558" s="18"/>
      <c r="N558" s="12"/>
    </row>
    <row r="559" spans="1:14" s="6" customFormat="1" ht="33.75" customHeight="1">
      <c r="A559" s="73" t="s">
        <v>505</v>
      </c>
      <c r="B559" s="74"/>
      <c r="C559" s="74"/>
      <c r="D559" s="74"/>
      <c r="E559" s="74"/>
      <c r="F559" s="74"/>
      <c r="G559" s="74"/>
      <c r="H559" s="74"/>
      <c r="I559" s="74"/>
      <c r="J559" s="56">
        <v>1457953.55</v>
      </c>
      <c r="K559" s="18"/>
      <c r="L559" s="19"/>
      <c r="M559" s="18"/>
      <c r="N559" s="12"/>
    </row>
    <row r="560" spans="1:14" s="6" customFormat="1" ht="12.75">
      <c r="A560" s="73" t="s">
        <v>506</v>
      </c>
      <c r="B560" s="74"/>
      <c r="C560" s="74"/>
      <c r="D560" s="74"/>
      <c r="E560" s="74"/>
      <c r="F560" s="74"/>
      <c r="G560" s="74"/>
      <c r="H560" s="74"/>
      <c r="I560" s="74"/>
      <c r="J560" s="56">
        <v>20778835.33</v>
      </c>
      <c r="K560" s="18"/>
      <c r="L560" s="19"/>
      <c r="M560" s="18"/>
      <c r="N560" s="12"/>
    </row>
    <row r="561" spans="1:14" s="6" customFormat="1" ht="12.75">
      <c r="A561" s="73" t="s">
        <v>507</v>
      </c>
      <c r="B561" s="74"/>
      <c r="C561" s="74"/>
      <c r="D561" s="74"/>
      <c r="E561" s="74"/>
      <c r="F561" s="74"/>
      <c r="G561" s="74"/>
      <c r="H561" s="74"/>
      <c r="I561" s="74"/>
      <c r="J561" s="56"/>
      <c r="K561" s="18"/>
      <c r="L561" s="19"/>
      <c r="M561" s="18"/>
      <c r="N561" s="12"/>
    </row>
    <row r="562" spans="1:14" s="6" customFormat="1" ht="12.75">
      <c r="A562" s="73" t="s">
        <v>508</v>
      </c>
      <c r="B562" s="74"/>
      <c r="C562" s="74"/>
      <c r="D562" s="74"/>
      <c r="E562" s="74"/>
      <c r="F562" s="74"/>
      <c r="G562" s="74"/>
      <c r="H562" s="74"/>
      <c r="I562" s="74"/>
      <c r="J562" s="56">
        <v>12232300.06</v>
      </c>
      <c r="K562" s="18"/>
      <c r="L562" s="19"/>
      <c r="M562" s="18"/>
      <c r="N562" s="12"/>
    </row>
    <row r="563" spans="1:14" s="6" customFormat="1" ht="12.75">
      <c r="A563" s="73" t="s">
        <v>509</v>
      </c>
      <c r="B563" s="74"/>
      <c r="C563" s="74"/>
      <c r="D563" s="74"/>
      <c r="E563" s="74"/>
      <c r="F563" s="74"/>
      <c r="G563" s="74"/>
      <c r="H563" s="74"/>
      <c r="I563" s="74"/>
      <c r="J563" s="56">
        <v>162256.02</v>
      </c>
      <c r="K563" s="18"/>
      <c r="L563" s="19"/>
      <c r="M563" s="18"/>
      <c r="N563" s="12"/>
    </row>
    <row r="564" spans="1:14" s="6" customFormat="1" ht="12.75">
      <c r="A564" s="73" t="s">
        <v>510</v>
      </c>
      <c r="B564" s="74"/>
      <c r="C564" s="74"/>
      <c r="D564" s="74"/>
      <c r="E564" s="74"/>
      <c r="F564" s="74"/>
      <c r="G564" s="74"/>
      <c r="H564" s="74"/>
      <c r="I564" s="74"/>
      <c r="J564" s="56">
        <v>3438901.19</v>
      </c>
      <c r="K564" s="18"/>
      <c r="L564" s="19"/>
      <c r="M564" s="18"/>
      <c r="N564" s="12"/>
    </row>
    <row r="565" spans="1:14" s="6" customFormat="1" ht="12.75">
      <c r="A565" s="73" t="s">
        <v>511</v>
      </c>
      <c r="B565" s="74"/>
      <c r="C565" s="74"/>
      <c r="D565" s="74"/>
      <c r="E565" s="74"/>
      <c r="F565" s="74"/>
      <c r="G565" s="74"/>
      <c r="H565" s="74"/>
      <c r="I565" s="74"/>
      <c r="J565" s="56">
        <v>3249681.15</v>
      </c>
      <c r="K565" s="18"/>
      <c r="L565" s="19"/>
      <c r="M565" s="18"/>
      <c r="N565" s="12"/>
    </row>
    <row r="566" spans="1:14" s="6" customFormat="1" ht="12.75">
      <c r="A566" s="73" t="s">
        <v>512</v>
      </c>
      <c r="B566" s="74"/>
      <c r="C566" s="74"/>
      <c r="D566" s="74"/>
      <c r="E566" s="74"/>
      <c r="F566" s="74"/>
      <c r="G566" s="74"/>
      <c r="H566" s="74"/>
      <c r="I566" s="74"/>
      <c r="J566" s="56">
        <v>1758128.62</v>
      </c>
      <c r="K566" s="18"/>
      <c r="L566" s="19"/>
      <c r="M566" s="18"/>
      <c r="N566" s="12"/>
    </row>
    <row r="567" spans="1:14" s="6" customFormat="1" ht="12.75">
      <c r="A567" s="73" t="s">
        <v>513</v>
      </c>
      <c r="B567" s="74"/>
      <c r="C567" s="74"/>
      <c r="D567" s="74"/>
      <c r="E567" s="74"/>
      <c r="F567" s="74"/>
      <c r="G567" s="74"/>
      <c r="H567" s="74"/>
      <c r="I567" s="74"/>
      <c r="J567" s="56">
        <v>4155767.07</v>
      </c>
      <c r="K567" s="18"/>
      <c r="L567" s="19"/>
      <c r="M567" s="18"/>
      <c r="N567" s="12"/>
    </row>
    <row r="568" spans="1:14" s="6" customFormat="1" ht="12.75">
      <c r="A568" s="75" t="s">
        <v>514</v>
      </c>
      <c r="B568" s="76"/>
      <c r="C568" s="76"/>
      <c r="D568" s="76"/>
      <c r="E568" s="76"/>
      <c r="F568" s="76"/>
      <c r="G568" s="76"/>
      <c r="H568" s="76"/>
      <c r="I568" s="76"/>
      <c r="J568" s="57">
        <v>24934602.4</v>
      </c>
      <c r="K568" s="18"/>
      <c r="L568" s="19"/>
      <c r="M568" s="18"/>
      <c r="N568" s="12"/>
    </row>
    <row r="569" spans="1:13" s="5" customFormat="1" ht="12.75">
      <c r="A569" s="2"/>
      <c r="B569" s="2"/>
      <c r="C569" s="2"/>
      <c r="D569" s="2"/>
      <c r="E569" s="43"/>
      <c r="F569" s="2"/>
      <c r="G569" s="2"/>
      <c r="H569" s="2"/>
      <c r="I569" s="2"/>
      <c r="J569" s="2"/>
      <c r="K569" s="13"/>
      <c r="M569" s="14"/>
    </row>
    <row r="570" spans="1:14" s="2" customFormat="1" ht="12.75">
      <c r="A570" s="1"/>
      <c r="B570" s="1"/>
      <c r="C570" s="1"/>
      <c r="D570" s="1"/>
      <c r="E570" s="22"/>
      <c r="F570" s="1"/>
      <c r="G570" s="1"/>
      <c r="H570" s="1"/>
      <c r="I570" s="1"/>
      <c r="J570" s="1"/>
      <c r="K570" s="11"/>
      <c r="L570" s="11"/>
      <c r="M570" s="11"/>
      <c r="N570" s="11"/>
    </row>
    <row r="571" spans="1:10" ht="12.75">
      <c r="A571" s="2"/>
      <c r="B571" s="2"/>
      <c r="C571" s="2"/>
      <c r="D571" s="2"/>
      <c r="E571" s="43"/>
      <c r="F571" s="2"/>
      <c r="G571" s="2"/>
      <c r="H571" s="2"/>
      <c r="I571" s="2"/>
      <c r="J571" s="2"/>
    </row>
    <row r="572" spans="1:14" s="2" customFormat="1" ht="12.75">
      <c r="A572" s="44" t="s">
        <v>516</v>
      </c>
      <c r="B572" s="20"/>
      <c r="C572" s="45"/>
      <c r="D572" s="45"/>
      <c r="E572" s="46"/>
      <c r="F572" s="45"/>
      <c r="G572" s="45"/>
      <c r="H572" s="45"/>
      <c r="I572" s="45"/>
      <c r="J572" s="45"/>
      <c r="K572" s="11"/>
      <c r="L572" s="11"/>
      <c r="M572" s="11"/>
      <c r="N572" s="11"/>
    </row>
    <row r="573" spans="1:14" s="3" customFormat="1" ht="15" customHeight="1">
      <c r="A573" s="32"/>
      <c r="B573" s="90" t="s">
        <v>7</v>
      </c>
      <c r="C573" s="90"/>
      <c r="D573" s="90"/>
      <c r="E573" s="90"/>
      <c r="F573" s="90"/>
      <c r="G573" s="90"/>
      <c r="H573" s="90"/>
      <c r="I573" s="90"/>
      <c r="J573" s="90"/>
      <c r="K573" s="8"/>
      <c r="L573" s="8"/>
      <c r="M573" s="8"/>
      <c r="N573" s="8"/>
    </row>
    <row r="574" spans="1:14" s="3" customFormat="1" ht="21" customHeight="1">
      <c r="A574" s="44" t="s">
        <v>26</v>
      </c>
      <c r="B574" s="20"/>
      <c r="C574" s="45"/>
      <c r="D574" s="45"/>
      <c r="E574" s="46"/>
      <c r="F574" s="45"/>
      <c r="G574" s="45"/>
      <c r="H574" s="45"/>
      <c r="I574" s="45"/>
      <c r="J574" s="45"/>
      <c r="K574" s="8"/>
      <c r="L574" s="8"/>
      <c r="M574" s="8"/>
      <c r="N574" s="8"/>
    </row>
    <row r="575" spans="1:14" s="3" customFormat="1" ht="15" customHeight="1">
      <c r="A575" s="32"/>
      <c r="B575" s="90" t="s">
        <v>7</v>
      </c>
      <c r="C575" s="90"/>
      <c r="D575" s="90"/>
      <c r="E575" s="90"/>
      <c r="F575" s="90"/>
      <c r="G575" s="90"/>
      <c r="H575" s="90"/>
      <c r="I575" s="90"/>
      <c r="J575" s="90"/>
      <c r="K575" s="8"/>
      <c r="L575" s="8"/>
      <c r="M575" s="8"/>
      <c r="N575" s="8"/>
    </row>
  </sheetData>
  <sheetProtection/>
  <autoFilter ref="A1:J575"/>
  <mergeCells count="114">
    <mergeCell ref="A104:J104"/>
    <mergeCell ref="A108:J108"/>
    <mergeCell ref="B573:J573"/>
    <mergeCell ref="B575:J575"/>
    <mergeCell ref="A20:J20"/>
    <mergeCell ref="A21:J21"/>
    <mergeCell ref="A36:J36"/>
    <mergeCell ref="A55:J55"/>
    <mergeCell ref="A56:J56"/>
    <mergeCell ref="A69:J69"/>
    <mergeCell ref="H10:J10"/>
    <mergeCell ref="C16:C18"/>
    <mergeCell ref="A93:J93"/>
    <mergeCell ref="A97:J97"/>
    <mergeCell ref="A100:J100"/>
    <mergeCell ref="A101:J101"/>
    <mergeCell ref="A82:J82"/>
    <mergeCell ref="A83:J83"/>
    <mergeCell ref="H16:J16"/>
    <mergeCell ref="H17:H18"/>
    <mergeCell ref="A112:J112"/>
    <mergeCell ref="A121:J121"/>
    <mergeCell ref="B3:C3"/>
    <mergeCell ref="B4:C4"/>
    <mergeCell ref="B5:C5"/>
    <mergeCell ref="A9:J9"/>
    <mergeCell ref="A16:A18"/>
    <mergeCell ref="B16:B18"/>
    <mergeCell ref="A124:J124"/>
    <mergeCell ref="A135:J135"/>
    <mergeCell ref="A141:J141"/>
    <mergeCell ref="A146:J146"/>
    <mergeCell ref="A149:J149"/>
    <mergeCell ref="D16:D18"/>
    <mergeCell ref="E16:E18"/>
    <mergeCell ref="I17:J17"/>
    <mergeCell ref="F16:G16"/>
    <mergeCell ref="F17:G17"/>
    <mergeCell ref="A218:J218"/>
    <mergeCell ref="A241:J241"/>
    <mergeCell ref="A253:J253"/>
    <mergeCell ref="A264:J264"/>
    <mergeCell ref="A282:J282"/>
    <mergeCell ref="A158:J158"/>
    <mergeCell ref="A162:J162"/>
    <mergeCell ref="A163:J163"/>
    <mergeCell ref="A184:J184"/>
    <mergeCell ref="A203:J203"/>
    <mergeCell ref="A338:J338"/>
    <mergeCell ref="A339:J339"/>
    <mergeCell ref="A360:J360"/>
    <mergeCell ref="A379:J379"/>
    <mergeCell ref="A394:J394"/>
    <mergeCell ref="A293:J293"/>
    <mergeCell ref="A301:J301"/>
    <mergeCell ref="A308:J308"/>
    <mergeCell ref="A326:J326"/>
    <mergeCell ref="A332:J332"/>
    <mergeCell ref="A462:J462"/>
    <mergeCell ref="A480:J480"/>
    <mergeCell ref="A486:J486"/>
    <mergeCell ref="A497:J497"/>
    <mergeCell ref="A505:J505"/>
    <mergeCell ref="A406:J406"/>
    <mergeCell ref="A417:J417"/>
    <mergeCell ref="A436:J436"/>
    <mergeCell ref="A447:J447"/>
    <mergeCell ref="A455:J455"/>
    <mergeCell ref="A528:I528"/>
    <mergeCell ref="A529:I529"/>
    <mergeCell ref="A530:I530"/>
    <mergeCell ref="A531:I531"/>
    <mergeCell ref="A532:I532"/>
    <mergeCell ref="A506:J506"/>
    <mergeCell ref="A509:J509"/>
    <mergeCell ref="A514:J514"/>
    <mergeCell ref="A516:J516"/>
    <mergeCell ref="A525:J525"/>
    <mergeCell ref="A538:I538"/>
    <mergeCell ref="A539:I539"/>
    <mergeCell ref="A540:I540"/>
    <mergeCell ref="A541:I541"/>
    <mergeCell ref="A542:I542"/>
    <mergeCell ref="A533:I533"/>
    <mergeCell ref="A534:I534"/>
    <mergeCell ref="A535:I535"/>
    <mergeCell ref="A536:I536"/>
    <mergeCell ref="A537:I537"/>
    <mergeCell ref="A548:I548"/>
    <mergeCell ref="A549:I549"/>
    <mergeCell ref="A550:I550"/>
    <mergeCell ref="A551:I551"/>
    <mergeCell ref="A552:I552"/>
    <mergeCell ref="A543:I543"/>
    <mergeCell ref="A544:I544"/>
    <mergeCell ref="A545:I545"/>
    <mergeCell ref="A546:I546"/>
    <mergeCell ref="A547:I547"/>
    <mergeCell ref="A567:I567"/>
    <mergeCell ref="A553:I553"/>
    <mergeCell ref="A554:I554"/>
    <mergeCell ref="A555:I555"/>
    <mergeCell ref="A556:I556"/>
    <mergeCell ref="A557:I557"/>
    <mergeCell ref="A558:I558"/>
    <mergeCell ref="A559:I559"/>
    <mergeCell ref="A560:I560"/>
    <mergeCell ref="A561:I561"/>
    <mergeCell ref="A562:I562"/>
    <mergeCell ref="A568:I568"/>
    <mergeCell ref="A563:I563"/>
    <mergeCell ref="A564:I564"/>
    <mergeCell ref="A565:I565"/>
    <mergeCell ref="A566:I566"/>
  </mergeCells>
  <printOptions/>
  <pageMargins left="0.5118110236220472" right="0.2362204724409449" top="0.5733333333333334" bottom="0.36666666666666664" header="0.31496062992125984" footer="0.31496062992125984"/>
  <pageSetup fitToHeight="30000" fitToWidth="1" horizontalDpi="600" verticalDpi="600" orientation="portrait" paperSize="9" scale="63" r:id="rId3"/>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dc:creator>
  <cp:keywords>12.03.2008</cp:keywords>
  <dc:description/>
  <cp:lastModifiedBy>Arthur</cp:lastModifiedBy>
  <cp:lastPrinted>2012-05-05T10:01:46Z</cp:lastPrinted>
  <dcterms:created xsi:type="dcterms:W3CDTF">2003-01-28T12:33:10Z</dcterms:created>
  <dcterms:modified xsi:type="dcterms:W3CDTF">2019-04-26T11:06:12Z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именование гр рас">
    <vt:lpwstr>это и есть наим</vt:lpwstr>
  </property>
</Properties>
</file>